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373" firstSheet="4" activeTab="4"/>
  </bookViews>
  <sheets>
    <sheet name="мероприятия пр." sheetId="1" r:id="rId1"/>
    <sheet name="21.05.2013" sheetId="2" r:id="rId2"/>
    <sheet name="Лист1" sheetId="3" r:id="rId3"/>
    <sheet name="13.11.2013" sheetId="4" r:id="rId4"/>
    <sheet name="20.11.2013" sheetId="5" r:id="rId5"/>
  </sheets>
  <externalReferences>
    <externalReference r:id="rId8"/>
  </externalReferences>
  <definedNames>
    <definedName name="_xlnm.Print_Titles" localSheetId="4">'20.11.2013'!$9:$10</definedName>
    <definedName name="_xlnm.Print_Titles" localSheetId="1">'21.05.2013'!$9:$10</definedName>
    <definedName name="_xlnm.Print_Titles" localSheetId="0">'мероприятия пр.'!$9:$10</definedName>
  </definedNames>
  <calcPr fullCalcOnLoad="1"/>
</workbook>
</file>

<file path=xl/sharedStrings.xml><?xml version="1.0" encoding="utf-8"?>
<sst xmlns="http://schemas.openxmlformats.org/spreadsheetml/2006/main" count="2014" uniqueCount="217">
  <si>
    <t>Приложение 1</t>
  </si>
  <si>
    <t>к программе комплексного развития систем</t>
  </si>
  <si>
    <t>коммунальной инфраструктуры города Покачи на 2011-2015 годы</t>
  </si>
  <si>
    <t xml:space="preserve">Перечень  мероприятий </t>
  </si>
  <si>
    <t>к программе комплексного развития систем коммунальной инфраструктуры  города Покачи на 2011-2015 годы</t>
  </si>
  <si>
    <t>№ п/п</t>
  </si>
  <si>
    <t>Наименование мероприятий</t>
  </si>
  <si>
    <t>Источник финансирования</t>
  </si>
  <si>
    <t xml:space="preserve">Сумма затрат тыс.руб. </t>
  </si>
  <si>
    <t>Объем финансирования   тыс.руб.</t>
  </si>
  <si>
    <t>годы</t>
  </si>
  <si>
    <t>Исполнители</t>
  </si>
  <si>
    <t>Блок 1 - Перечень мероприятий по развитию и модернизации объектов ЖКХ</t>
  </si>
  <si>
    <t>Проектирование и реконструкция КОС</t>
  </si>
  <si>
    <t>местный бюджет</t>
  </si>
  <si>
    <t>МУ «УКС», УЖКХ</t>
  </si>
  <si>
    <t>окружной бюджет</t>
  </si>
  <si>
    <t>прочие источ. финансир.</t>
  </si>
  <si>
    <t>-проектирование КОС</t>
  </si>
  <si>
    <t>-реконструкция  КОС</t>
  </si>
  <si>
    <t>Строительство «Нефтенасосная станция подачи аварийного топлива (стабилизированная нефть) городской котельной г. Покачи»</t>
  </si>
  <si>
    <t>Строительство  наружных  сетей тепловодоснабжения участка от ТП-1П  котельная до ИТП  КСК «Нефтяник»</t>
  </si>
  <si>
    <t xml:space="preserve">Капитальный ремонт КНС </t>
  </si>
  <si>
    <t>- КНС -6</t>
  </si>
  <si>
    <t xml:space="preserve"> - КНС -7</t>
  </si>
  <si>
    <t xml:space="preserve">местный бюджет </t>
  </si>
  <si>
    <t>местный бюджет (арендные платежи)</t>
  </si>
  <si>
    <t>средства предприятий</t>
  </si>
  <si>
    <t>Проектирование наружных сетей тепловодоснабжения участка от ТП -1П  котельная до ИТП  КСК «Нефтяник»</t>
  </si>
  <si>
    <t>итого Блоку 1:</t>
  </si>
  <si>
    <t xml:space="preserve"> Блок 2 – Перечень мероприятий по проектированию и строительству инженерных сетей города.</t>
  </si>
  <si>
    <t xml:space="preserve">Строительство объекта "Инженерные сети тепловодоснабжения, канализации, электроснабжения и связи IV микрорайона" </t>
  </si>
  <si>
    <t xml:space="preserve"> 4-й пусковой комплекс</t>
  </si>
  <si>
    <t xml:space="preserve"> Наружные сети электроснабжения ЦТП</t>
  </si>
  <si>
    <t xml:space="preserve">  Строительство ЦТП</t>
  </si>
  <si>
    <t xml:space="preserve">  Прокладка сетей электроснабжения 10кВ</t>
  </si>
  <si>
    <t xml:space="preserve">  Строительство КНС №10</t>
  </si>
  <si>
    <t xml:space="preserve"> Прокладка сетей связи</t>
  </si>
  <si>
    <t xml:space="preserve"> Прокладка сетей электроснабжения 0,4кВ</t>
  </si>
  <si>
    <t xml:space="preserve">  Благоустройство территорий ЦТП и ТП</t>
  </si>
  <si>
    <t xml:space="preserve">  Строительство КНС №11 и №12</t>
  </si>
  <si>
    <t xml:space="preserve"> Благоустройство территорий КНС</t>
  </si>
  <si>
    <t xml:space="preserve">  3-й пусковой комплекc</t>
  </si>
  <si>
    <t xml:space="preserve">  Демонтаж и перенос существующих сооружений</t>
  </si>
  <si>
    <t xml:space="preserve"> Наружные сети хозяйственно-питьевого водопровода</t>
  </si>
  <si>
    <t xml:space="preserve"> Наружные сети теплоснабжения и водоснабжения</t>
  </si>
  <si>
    <t xml:space="preserve">  Наружные сети канализации</t>
  </si>
  <si>
    <t>итого Блоку 2:</t>
  </si>
  <si>
    <t xml:space="preserve"> Блок 3 – Перечень мероприятий по проектированию и строительству малоэтажной жилой застройки II-го микрорайона, квартал-7</t>
  </si>
  <si>
    <t>Проектно-изыскательские работы по объекту «Инженерные сети электроснабжения малоэтажной застройки  II-микрорайона, квартала-7» в городе Покачи</t>
  </si>
  <si>
    <t>Проектно-изыскательские работы по объекту «Инженерные сети( тепловодоснабжения, канализация и связь) малоэтажной застройки  II-микрорайона, квартала-7» в городе Покачи</t>
  </si>
  <si>
    <t>Проектно-изыскательские работы по объекту «Дороги  малоэтажной застройки  II-микрорайона, квартала-7» в городеПокачи</t>
  </si>
  <si>
    <t>Улица Тихая</t>
  </si>
  <si>
    <t>Сети КЛ 0,4 кВ (кабель) от ТП до ЦТП</t>
  </si>
  <si>
    <t>Сети ВЛ 0,4 кВ (воздушная-СИП 2а) освещение</t>
  </si>
  <si>
    <r>
      <t xml:space="preserve">Теплоснабжение </t>
    </r>
    <r>
      <rPr>
        <b/>
        <sz val="9"/>
        <rFont val="Arial Cyr"/>
        <family val="2"/>
      </rPr>
      <t>Ø</t>
    </r>
    <r>
      <rPr>
        <b/>
        <sz val="8.1"/>
        <rFont val="Times New Roman"/>
        <family val="1"/>
      </rPr>
      <t>219 мм. (ППУ) от ул.Молодежная №8 до ЦТП</t>
    </r>
  </si>
  <si>
    <r>
      <t xml:space="preserve">Водоснабжение </t>
    </r>
    <r>
      <rPr>
        <b/>
        <sz val="9"/>
        <rFont val="Arial Cyr"/>
        <family val="2"/>
      </rPr>
      <t>Ø</t>
    </r>
    <r>
      <rPr>
        <b/>
        <sz val="8.1"/>
        <rFont val="Times New Roman"/>
        <family val="1"/>
      </rPr>
      <t>219 мм. (ППУ) от ул. Молодежная №8 до ЦТП</t>
    </r>
  </si>
  <si>
    <t>ЦТП</t>
  </si>
  <si>
    <r>
      <t xml:space="preserve">Теплоснабжение </t>
    </r>
    <r>
      <rPr>
        <b/>
        <sz val="9"/>
        <rFont val="Times New Roman"/>
        <family val="1"/>
      </rPr>
      <t xml:space="preserve">Ø219 мм. (ППУ) </t>
    </r>
  </si>
  <si>
    <r>
      <t xml:space="preserve">Водоснабжение </t>
    </r>
    <r>
      <rPr>
        <b/>
        <sz val="9"/>
        <rFont val="Times New Roman"/>
        <family val="1"/>
      </rPr>
      <t xml:space="preserve">Ø219 мм. (ППУ) </t>
    </r>
  </si>
  <si>
    <t>Дорога (щебень, асфальт)</t>
  </si>
  <si>
    <t>Тротуар (троуарная плитка)</t>
  </si>
  <si>
    <t>Связь (кабель типа ТПП)</t>
  </si>
  <si>
    <t>Улица Мира</t>
  </si>
  <si>
    <r>
      <t xml:space="preserve">Канализация </t>
    </r>
    <r>
      <rPr>
        <b/>
        <sz val="9"/>
        <rFont val="Times New Roman"/>
        <family val="1"/>
      </rPr>
      <t>Ø 150 мм.толщина стенки 12 мм. ст.труба с внутренним полимерным покрытием в усиленной гидроизоляции</t>
    </r>
  </si>
  <si>
    <t>Разводящие сети Т1-"Изопекс"-1,В1+Т2-"Изопекс"-2 (в одной изоляции)</t>
  </si>
  <si>
    <t>Регулировочный клапан "Ballorex"</t>
  </si>
  <si>
    <t>Тепловая камера (по проекту)</t>
  </si>
  <si>
    <t>Улица Северная</t>
  </si>
  <si>
    <r>
      <t xml:space="preserve">Канализация </t>
    </r>
    <r>
      <rPr>
        <b/>
        <sz val="9"/>
        <rFont val="Times New Roman"/>
        <family val="1"/>
      </rPr>
      <t xml:space="preserve">Ø 150 мм.толщина стенки 12 мм. ст.труба с внутренним полимерным покрытием в усиленной гидроизоляции (249,1м) </t>
    </r>
  </si>
  <si>
    <t>Улица Сосновая</t>
  </si>
  <si>
    <t>Тротуар (тротуарная плитка)</t>
  </si>
  <si>
    <t>Улица Весенняя</t>
  </si>
  <si>
    <t>Улица Молодежная</t>
  </si>
  <si>
    <t>итого Блоку 3:</t>
  </si>
  <si>
    <t xml:space="preserve"> ВСЕГО ПО ПРОГРАММЕ:</t>
  </si>
  <si>
    <t>в том числе по годам:</t>
  </si>
  <si>
    <t xml:space="preserve"> </t>
  </si>
  <si>
    <t xml:space="preserve">  </t>
  </si>
  <si>
    <t>Корректировка ПИР (наружные сети электроснабжения ЦТП)</t>
  </si>
  <si>
    <t>Реконструкция сетей 0,4 кВ электроснабжения КТПН №70</t>
  </si>
  <si>
    <t>Реконструкция сетей 6;0,4 кВ электроснабжения КТПН №118</t>
  </si>
  <si>
    <t>Замена КЛ-0,4 кВ внешнего электроснабжения жилых домов  (ул. Молодежная,д.1,9; ул Ленина,д.18)</t>
  </si>
  <si>
    <t>Реконструкция ТП-10/0,4 кВ города (ТП 4.1.)</t>
  </si>
  <si>
    <t>Капитальный ремонт сетей тепловодоснабжения участка ТК 12-ПБ «Дельфин»</t>
  </si>
  <si>
    <t xml:space="preserve">Сети КЛ 10 кВ (кабель) </t>
  </si>
  <si>
    <t xml:space="preserve">Проектирование и строительство 10/0,4кВ ТП -5.2 , ТП-5.4 </t>
  </si>
  <si>
    <t>Проектирование и реконструкция ПС "Городская"в г. Покачи</t>
  </si>
  <si>
    <t>Реконструкция сетей наружного освещения по ул. Аганская</t>
  </si>
  <si>
    <t>Перенос ЛЭП (ВЛ-10 кВ) -реконструкция объекта «Кольцевые сети электроснабжения ВЛ-10 кВ от ПС-35/10 кВ «Городская» в г.Покачи (в т.ч. ПИР)</t>
  </si>
  <si>
    <t>Проектирование и строительство  ТП 10/0,4 кВ</t>
  </si>
  <si>
    <t xml:space="preserve"> - корректировка проекта</t>
  </si>
  <si>
    <t xml:space="preserve"> - строительство «Нефтенасосная станция подачи аварийного топлива (стабилизированная нефть) городской котельной г. Покачи»</t>
  </si>
  <si>
    <t xml:space="preserve"> - Корректировка ПИР </t>
  </si>
  <si>
    <t xml:space="preserve">  -  Строительство ЦТП</t>
  </si>
  <si>
    <t xml:space="preserve">  -  Строительство сетей электроснабжения </t>
  </si>
  <si>
    <t xml:space="preserve">  -  Строительство канализационных сетей</t>
  </si>
  <si>
    <t>Строительство объекта "Инженерные сети тепловодоснабжения, канализации, электроснабжения IV микрорайона" , в том числе:</t>
  </si>
  <si>
    <t xml:space="preserve"> - Сети КЛ 10 кВ (кабель) </t>
  </si>
  <si>
    <t xml:space="preserve"> - Сети КЛ 0,4 кВ (кабель) от ТП до ЦТП</t>
  </si>
  <si>
    <t xml:space="preserve"> - Сети ВЛ 0,4 кВ (воздушная-СИП 2а) освещение</t>
  </si>
  <si>
    <t xml:space="preserve"> - ЦТП</t>
  </si>
  <si>
    <t xml:space="preserve"> - Тепловодоснабжениеснабжение Ø219 мм. (ППУ) </t>
  </si>
  <si>
    <r>
      <t xml:space="preserve"> - Тепловодоснабжение </t>
    </r>
    <r>
      <rPr>
        <sz val="9"/>
        <rFont val="Arial Cyr"/>
        <family val="2"/>
      </rPr>
      <t>Ø</t>
    </r>
    <r>
      <rPr>
        <sz val="8.1"/>
        <rFont val="Times New Roman"/>
        <family val="1"/>
      </rPr>
      <t>219 мм. (ППУ) от ул.Молодежная №8 до ЦТП</t>
    </r>
  </si>
  <si>
    <t xml:space="preserve"> - Канализация Ø 150 мм.толщина стенки 12 мм. ст.труба с внутренним полимерным покрытием в усиленной гидроизоляции</t>
  </si>
  <si>
    <t xml:space="preserve"> - Теплоснабжение Ø219 мм. (ППУ) </t>
  </si>
  <si>
    <t xml:space="preserve"> - Канализация Ø 150 мм.толщина стенки 12 мм. ст.труба с внутренним полимерным покрытием в усиленной гидроизоляции (249,1м) </t>
  </si>
  <si>
    <t xml:space="preserve"> - Сети тепловодоснабжения</t>
  </si>
  <si>
    <t xml:space="preserve"> - Канализация Ø 150 мм.толщина стенки 12 мм. ст.труба с внутренним полимерным покрытием в усиленной гидроизоляции </t>
  </si>
  <si>
    <t>Проектирование и реконструкция КОС, в том числе:</t>
  </si>
  <si>
    <t>Строительство «Нефтенасосная станция подачи аварийного топлива (стабилизированная нефть) городской котельной г. Покачи», в том числе:</t>
  </si>
  <si>
    <t>Итого</t>
  </si>
  <si>
    <t>КНС-7</t>
  </si>
  <si>
    <t xml:space="preserve"> КНС- 6</t>
  </si>
  <si>
    <t>Капитальный ремонт электрооборудования ДЭС-2 на городской котельной</t>
  </si>
  <si>
    <t>Проектирование  наружных  сетей тепловодоснабжения участка от ТП-1П  котельная до ИТП  КСК «Нефтяник»</t>
  </si>
  <si>
    <t>КНС-8</t>
  </si>
  <si>
    <t xml:space="preserve">Проектирование и строительство сетей электроснабжения ВОС-ТП -5.2 </t>
  </si>
  <si>
    <t>Капитальный ремонт канализационных колодцев 2 микрорайона.</t>
  </si>
  <si>
    <t>от __________________№_________</t>
  </si>
  <si>
    <t>Строительство аэратора-дегазатора на ВОС</t>
  </si>
  <si>
    <t xml:space="preserve"> - проектирование ГРП  I и  II очереди городской котельной</t>
  </si>
  <si>
    <t xml:space="preserve"> капитальный ремонт узлов учета ГРП I и  II очереди городской котельной</t>
  </si>
  <si>
    <t xml:space="preserve">Проектирование и внедрение АИИС КУЭ  третьего уровня 4 микрорайона </t>
  </si>
  <si>
    <t>Реконструкция ВЛ-35кВ Ф№5 ПС 110/35/6кВ "Покачевская"( установка приемных порталов, монтаж ВВ-35кВ)</t>
  </si>
  <si>
    <t>Реконструкция ВЛ-35кВ Ф№6 ПС 110/35/6кВ "Покачевская"( замена МВ -35кВ №1 на ВВ-35кВ)</t>
  </si>
  <si>
    <t>Капитальный ремонт сети тепловодоснабжения по ул. Мира,18 (сети ТС, ГВС, ХВС от ЦТП-6 -МБУЗ "ЦГБ")</t>
  </si>
  <si>
    <t>Проектирование и реконструкция Подстанции 35/10кВ "Городская""в г. Покачи</t>
  </si>
  <si>
    <t>Пояснения</t>
  </si>
  <si>
    <t xml:space="preserve"> средства в бюджете города на 2013-2015 г. не предусмотрены</t>
  </si>
  <si>
    <t>Строительство инженерных сетей  улицы Тихая</t>
  </si>
  <si>
    <t>Строительство инженерных сетей  улицы  Мира</t>
  </si>
  <si>
    <t>Строительство инженерных сетей  улицы  Северная</t>
  </si>
  <si>
    <t>Строительство инженерных сетей  улицы  Сосновая</t>
  </si>
  <si>
    <t>Строительство инженерных сетей  улицы  Весенняя</t>
  </si>
  <si>
    <t>Строительство инженерных сетей  улицы  Молодежная</t>
  </si>
  <si>
    <t>средства в бюджете города на 2013-2015 г. не предусмотрены</t>
  </si>
  <si>
    <t>Капитальный ремонт узлов учета ГРП I и  II очереди городской котельной</t>
  </si>
  <si>
    <t>1440000,0</t>
  </si>
  <si>
    <t>2326000,0</t>
  </si>
  <si>
    <t>478000,0</t>
  </si>
  <si>
    <t>1811100,0</t>
  </si>
  <si>
    <t>26000000,0</t>
  </si>
  <si>
    <t>4907000,0</t>
  </si>
  <si>
    <t>4405000,0</t>
  </si>
  <si>
    <t>3650000,0</t>
  </si>
  <si>
    <t>3414000,0</t>
  </si>
  <si>
    <t>580000,0</t>
  </si>
  <si>
    <t>1402000,0</t>
  </si>
  <si>
    <t>2979000,0</t>
  </si>
  <si>
    <t>403000,0</t>
  </si>
  <si>
    <t>1420000,0</t>
  </si>
  <si>
    <t>2273000,0</t>
  </si>
  <si>
    <t>353000,0</t>
  </si>
  <si>
    <t>5000000,00</t>
  </si>
  <si>
    <t>1000000,00</t>
  </si>
  <si>
    <t>0,0</t>
  </si>
  <si>
    <t>Объем финансирования   руб.</t>
  </si>
  <si>
    <t>6</t>
  </si>
  <si>
    <t>7</t>
  </si>
  <si>
    <t>8</t>
  </si>
  <si>
    <t>9</t>
  </si>
  <si>
    <t>10</t>
  </si>
  <si>
    <t>11</t>
  </si>
  <si>
    <t>13</t>
  </si>
  <si>
    <t>12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</si>
  <si>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</si>
  <si>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</si>
  <si>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</si>
  <si>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</si>
  <si>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</si>
  <si>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</si>
  <si>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</si>
  <si>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</si>
  <si>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</si>
  <si>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</si>
  <si>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</si>
  <si>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</si>
  <si>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</si>
  <si>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</si>
  <si>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</si>
  <si>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</si>
  <si>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0</t>
  </si>
  <si>
    <t xml:space="preserve">Стоимость объекта  руб. </t>
  </si>
  <si>
    <t>Капитальный ремонт кольцевой сети водоснабжения участка ТК-28 -ПГ ул. Комсомольская, 6\1 ( 144,7 п.м)</t>
  </si>
  <si>
    <t>Капитальный ремонт кольцевой сети водоснабжения участка ул. Молодежная, 11 ул. Комсомольская, 1(25,8 п.м)</t>
  </si>
  <si>
    <t>Капитальный ремонт сетей ХВС участка(ул. Таежная.16-Мира,2), (18 м.п)</t>
  </si>
  <si>
    <t>Капитальный ремонт сетей ТВС участка ТП12(ул. Мира,9), (97м.п)</t>
  </si>
  <si>
    <t>Капитальный ремонтнаружных сетей водоотведения(ул. Таежная,2),(35 м.п)</t>
  </si>
  <si>
    <t>Капитальный ремонтнаружных сетей водоотведения(ул.Мира,12), (31 м.п)</t>
  </si>
  <si>
    <t>Капитальный ремонтнаружных сетей водоотведения(ул.Ленина,18), (68м.п.)</t>
  </si>
  <si>
    <t>доля МБ</t>
  </si>
  <si>
    <t>доля ХМАО</t>
  </si>
  <si>
    <t>Капитальный ремонт наружных сетей водоотведения(ул. Таежная,2),(35 м.п)</t>
  </si>
  <si>
    <t>Капитальный ремонт сети ХВС с учетом переноса пожгидранта (ул. Тихая)</t>
  </si>
  <si>
    <t>Реконструкция сетей  6,04кВ электроснабжения КТПН №118</t>
  </si>
  <si>
    <t>Капитальный ремонт канализационных колодцев 3 шт.(№64,65 ул. Северная)</t>
  </si>
  <si>
    <t>Капитальный ремонт ДЭС (котельная)</t>
  </si>
  <si>
    <t>30</t>
  </si>
  <si>
    <t>31</t>
  </si>
  <si>
    <t>32</t>
  </si>
  <si>
    <t>Приобретение мертвых опор (10 единиц)</t>
  </si>
  <si>
    <t>к решению Думы города Покачи</t>
  </si>
  <si>
    <t>Приложение</t>
  </si>
  <si>
    <t>Приобретение запорной арматуры  (10 единиц)</t>
  </si>
  <si>
    <t>Приобретение неподвижных опор трубопровода тепловой сети  (18 шт.)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</si>
  <si>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</si>
  <si>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</si>
  <si>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</si>
  <si>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</si>
  <si>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</si>
  <si>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</si>
  <si>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</si>
  <si>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</si>
  <si>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</si>
  <si>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Капитальный ремонт ДЭС городской котельной г.Покачи (пусконаладочные работы по замене электронной панели и запуску в автоматическом режиме)</t>
  </si>
  <si>
    <t>от  26.11.2013   № 134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</si>
</sst>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"/>
    <numFmt numFmtId="171" formatCode="#,##0.000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9"/>
      <name val="Arial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i/>
      <sz val="9"/>
      <name val="Times New Roman"/>
      <family val="1"/>
    </font>
    <font>
      <sz val="9"/>
      <name val="Times New Roman"/>
      <family val="1"/>
    </font>
    <font>
      <i/>
      <sz val="9"/>
      <name val="Arial"/>
      <family val="2"/>
    </font>
    <font>
      <i/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name val="Arial Cyr"/>
      <family val="2"/>
    </font>
    <font>
      <b/>
      <sz val="8.1"/>
      <name val="Times New Roman"/>
      <family val="1"/>
    </font>
    <font>
      <i/>
      <sz val="9"/>
      <color indexed="8"/>
      <name val="Times New Roman"/>
      <family val="1"/>
    </font>
    <font>
      <sz val="9"/>
      <name val="Arial Cyr"/>
      <family val="2"/>
    </font>
    <font>
      <sz val="8.1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9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4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889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 horizontal="right" vertical="center"/>
    </xf>
    <xf numFmtId="0" fontId="18" fillId="0" borderId="0" xfId="0" applyFont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5" fillId="0" borderId="0" xfId="0" applyFont="1" applyAlignment="1">
      <alignment/>
    </xf>
    <xf numFmtId="0" fontId="24" fillId="0" borderId="10" xfId="0" applyFont="1" applyBorder="1" applyAlignment="1">
      <alignment horizontal="center"/>
    </xf>
    <xf numFmtId="3" fontId="22" fillId="0" borderId="11" xfId="0" applyNumberFormat="1" applyFont="1" applyBorder="1" applyAlignment="1">
      <alignment horizontal="center" vertical="center"/>
    </xf>
    <xf numFmtId="3" fontId="23" fillId="0" borderId="12" xfId="0" applyNumberFormat="1" applyFont="1" applyBorder="1" applyAlignment="1">
      <alignment horizontal="left" vertical="center" wrapText="1"/>
    </xf>
    <xf numFmtId="3" fontId="23" fillId="0" borderId="13" xfId="0" applyNumberFormat="1" applyFont="1" applyBorder="1" applyAlignment="1">
      <alignment horizontal="center" vertical="center"/>
    </xf>
    <xf numFmtId="164" fontId="26" fillId="23" borderId="12" xfId="0" applyNumberFormat="1" applyFont="1" applyFill="1" applyBorder="1" applyAlignment="1">
      <alignment horizontal="center" vertical="center"/>
    </xf>
    <xf numFmtId="164" fontId="23" fillId="23" borderId="13" xfId="0" applyNumberFormat="1" applyFont="1" applyFill="1" applyBorder="1" applyAlignment="1">
      <alignment horizontal="center"/>
    </xf>
    <xf numFmtId="164" fontId="23" fillId="23" borderId="13" xfId="0" applyNumberFormat="1" applyFont="1" applyFill="1" applyBorder="1" applyAlignment="1">
      <alignment horizontal="center" vertical="center"/>
    </xf>
    <xf numFmtId="164" fontId="23" fillId="23" borderId="14" xfId="0" applyNumberFormat="1" applyFont="1" applyFill="1" applyBorder="1" applyAlignment="1">
      <alignment horizontal="center" vertical="center"/>
    </xf>
    <xf numFmtId="3" fontId="23" fillId="0" borderId="10" xfId="0" applyNumberFormat="1" applyFont="1" applyBorder="1" applyAlignment="1">
      <alignment horizontal="center" vertical="center"/>
    </xf>
    <xf numFmtId="164" fontId="23" fillId="23" borderId="10" xfId="0" applyNumberFormat="1" applyFont="1" applyFill="1" applyBorder="1" applyAlignment="1">
      <alignment horizontal="center"/>
    </xf>
    <xf numFmtId="164" fontId="23" fillId="23" borderId="10" xfId="0" applyNumberFormat="1" applyFont="1" applyFill="1" applyBorder="1" applyAlignment="1">
      <alignment horizontal="center" vertical="center"/>
    </xf>
    <xf numFmtId="164" fontId="23" fillId="23" borderId="15" xfId="0" applyNumberFormat="1" applyFont="1" applyFill="1" applyBorder="1" applyAlignment="1">
      <alignment horizontal="center" vertical="center"/>
    </xf>
    <xf numFmtId="3" fontId="23" fillId="0" borderId="16" xfId="0" applyNumberFormat="1" applyFont="1" applyBorder="1" applyAlignment="1">
      <alignment horizontal="center" vertical="center"/>
    </xf>
    <xf numFmtId="164" fontId="23" fillId="23" borderId="16" xfId="0" applyNumberFormat="1" applyFont="1" applyFill="1" applyBorder="1" applyAlignment="1">
      <alignment horizontal="center"/>
    </xf>
    <xf numFmtId="164" fontId="23" fillId="23" borderId="16" xfId="0" applyNumberFormat="1" applyFont="1" applyFill="1" applyBorder="1" applyAlignment="1">
      <alignment horizontal="center" vertical="center"/>
    </xf>
    <xf numFmtId="164" fontId="23" fillId="23" borderId="17" xfId="0" applyNumberFormat="1" applyFont="1" applyFill="1" applyBorder="1" applyAlignment="1">
      <alignment horizontal="center" vertical="center"/>
    </xf>
    <xf numFmtId="3" fontId="29" fillId="0" borderId="13" xfId="0" applyNumberFormat="1" applyFont="1" applyBorder="1" applyAlignment="1">
      <alignment horizontal="center" vertical="center"/>
    </xf>
    <xf numFmtId="164" fontId="29" fillId="0" borderId="13" xfId="0" applyNumberFormat="1" applyFont="1" applyBorder="1" applyAlignment="1">
      <alignment horizontal="center"/>
    </xf>
    <xf numFmtId="164" fontId="29" fillId="0" borderId="13" xfId="0" applyNumberFormat="1" applyFont="1" applyBorder="1" applyAlignment="1">
      <alignment horizontal="center" vertical="center"/>
    </xf>
    <xf numFmtId="164" fontId="29" fillId="0" borderId="14" xfId="0" applyNumberFormat="1" applyFont="1" applyBorder="1" applyAlignment="1">
      <alignment horizontal="center"/>
    </xf>
    <xf numFmtId="3" fontId="29" fillId="0" borderId="10" xfId="0" applyNumberFormat="1" applyFont="1" applyBorder="1" applyAlignment="1">
      <alignment horizontal="center" vertical="center"/>
    </xf>
    <xf numFmtId="164" fontId="29" fillId="0" borderId="10" xfId="0" applyNumberFormat="1" applyFont="1" applyBorder="1" applyAlignment="1">
      <alignment horizontal="center"/>
    </xf>
    <xf numFmtId="164" fontId="29" fillId="0" borderId="10" xfId="0" applyNumberFormat="1" applyFont="1" applyBorder="1" applyAlignment="1">
      <alignment horizontal="center" vertical="center"/>
    </xf>
    <xf numFmtId="164" fontId="29" fillId="0" borderId="15" xfId="0" applyNumberFormat="1" applyFont="1" applyBorder="1" applyAlignment="1">
      <alignment horizontal="center"/>
    </xf>
    <xf numFmtId="164" fontId="29" fillId="0" borderId="16" xfId="0" applyNumberFormat="1" applyFont="1" applyBorder="1" applyAlignment="1">
      <alignment horizontal="center"/>
    </xf>
    <xf numFmtId="164" fontId="29" fillId="0" borderId="16" xfId="0" applyNumberFormat="1" applyFont="1" applyBorder="1" applyAlignment="1">
      <alignment horizontal="center" vertical="center"/>
    </xf>
    <xf numFmtId="164" fontId="29" fillId="0" borderId="17" xfId="0" applyNumberFormat="1" applyFont="1" applyBorder="1" applyAlignment="1">
      <alignment horizontal="center"/>
    </xf>
    <xf numFmtId="3" fontId="23" fillId="0" borderId="13" xfId="0" applyNumberFormat="1" applyFont="1" applyBorder="1" applyAlignment="1">
      <alignment horizontal="center" vertical="center" wrapText="1"/>
    </xf>
    <xf numFmtId="164" fontId="23" fillId="23" borderId="14" xfId="0" applyNumberFormat="1" applyFont="1" applyFill="1" applyBorder="1" applyAlignment="1">
      <alignment horizontal="center"/>
    </xf>
    <xf numFmtId="3" fontId="23" fillId="0" borderId="10" xfId="0" applyNumberFormat="1" applyFont="1" applyBorder="1" applyAlignment="1">
      <alignment horizontal="center" vertical="center" wrapText="1"/>
    </xf>
    <xf numFmtId="164" fontId="23" fillId="23" borderId="18" xfId="0" applyNumberFormat="1" applyFont="1" applyFill="1" applyBorder="1" applyAlignment="1">
      <alignment horizontal="center" vertical="center" wrapText="1"/>
    </xf>
    <xf numFmtId="164" fontId="23" fillId="23" borderId="19" xfId="0" applyNumberFormat="1" applyFont="1" applyFill="1" applyBorder="1" applyAlignment="1">
      <alignment horizontal="center"/>
    </xf>
    <xf numFmtId="164" fontId="23" fillId="23" borderId="17" xfId="0" applyNumberFormat="1" applyFont="1" applyFill="1" applyBorder="1" applyAlignment="1">
      <alignment horizontal="center"/>
    </xf>
    <xf numFmtId="3" fontId="22" fillId="0" borderId="0" xfId="0" applyNumberFormat="1" applyFont="1" applyAlignment="1">
      <alignment/>
    </xf>
    <xf numFmtId="164" fontId="26" fillId="0" borderId="16" xfId="0" applyNumberFormat="1" applyFont="1" applyBorder="1" applyAlignment="1">
      <alignment horizontal="center" vertical="center"/>
    </xf>
    <xf numFmtId="164" fontId="27" fillId="0" borderId="13" xfId="0" applyNumberFormat="1" applyFont="1" applyBorder="1" applyAlignment="1">
      <alignment horizontal="center" vertical="center"/>
    </xf>
    <xf numFmtId="164" fontId="27" fillId="0" borderId="10" xfId="0" applyNumberFormat="1" applyFont="1" applyBorder="1" applyAlignment="1">
      <alignment horizontal="center" vertical="center"/>
    </xf>
    <xf numFmtId="164" fontId="27" fillId="0" borderId="16" xfId="0" applyNumberFormat="1" applyFont="1" applyBorder="1" applyAlignment="1">
      <alignment horizontal="center" vertical="center"/>
    </xf>
    <xf numFmtId="164" fontId="0" fillId="0" borderId="0" xfId="0" applyNumberFormat="1" applyAlignment="1">
      <alignment/>
    </xf>
    <xf numFmtId="164" fontId="25" fillId="0" borderId="0" xfId="0" applyNumberFormat="1" applyFont="1" applyAlignment="1">
      <alignment/>
    </xf>
    <xf numFmtId="164" fontId="23" fillId="0" borderId="16" xfId="0" applyNumberFormat="1" applyFont="1" applyBorder="1" applyAlignment="1">
      <alignment horizontal="center"/>
    </xf>
    <xf numFmtId="164" fontId="23" fillId="0" borderId="10" xfId="0" applyNumberFormat="1" applyFont="1" applyBorder="1" applyAlignment="1">
      <alignment horizontal="center" vertical="center"/>
    </xf>
    <xf numFmtId="164" fontId="23" fillId="0" borderId="16" xfId="0" applyNumberFormat="1" applyFont="1" applyBorder="1" applyAlignment="1">
      <alignment horizontal="center" vertical="center"/>
    </xf>
    <xf numFmtId="164" fontId="23" fillId="0" borderId="17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/>
    </xf>
    <xf numFmtId="3" fontId="23" fillId="0" borderId="18" xfId="0" applyNumberFormat="1" applyFont="1" applyBorder="1" applyAlignment="1">
      <alignment horizontal="center" vertical="center"/>
    </xf>
    <xf numFmtId="164" fontId="23" fillId="6" borderId="13" xfId="0" applyNumberFormat="1" applyFont="1" applyFill="1" applyBorder="1" applyAlignment="1">
      <alignment horizontal="center" vertical="center"/>
    </xf>
    <xf numFmtId="3" fontId="23" fillId="6" borderId="10" xfId="0" applyNumberFormat="1" applyFont="1" applyFill="1" applyBorder="1" applyAlignment="1">
      <alignment horizontal="center" vertical="center"/>
    </xf>
    <xf numFmtId="164" fontId="23" fillId="6" borderId="10" xfId="0" applyNumberFormat="1" applyFont="1" applyFill="1" applyBorder="1" applyAlignment="1">
      <alignment horizontal="center" vertical="center"/>
    </xf>
    <xf numFmtId="3" fontId="23" fillId="6" borderId="16" xfId="0" applyNumberFormat="1" applyFont="1" applyFill="1" applyBorder="1" applyAlignment="1">
      <alignment horizontal="center" vertical="center"/>
    </xf>
    <xf numFmtId="164" fontId="23" fillId="6" borderId="16" xfId="0" applyNumberFormat="1" applyFont="1" applyFill="1" applyBorder="1" applyAlignment="1">
      <alignment horizontal="center" vertical="center"/>
    </xf>
    <xf numFmtId="164" fontId="26" fillId="0" borderId="12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164" fontId="23" fillId="0" borderId="13" xfId="0" applyNumberFormat="1" applyFont="1" applyBorder="1" applyAlignment="1">
      <alignment horizontal="center" vertical="center"/>
    </xf>
    <xf numFmtId="0" fontId="30" fillId="0" borderId="0" xfId="0" applyFont="1" applyAlignment="1">
      <alignment/>
    </xf>
    <xf numFmtId="164" fontId="30" fillId="0" borderId="10" xfId="0" applyNumberFormat="1" applyFont="1" applyBorder="1" applyAlignment="1">
      <alignment horizontal="center" vertical="center"/>
    </xf>
    <xf numFmtId="3" fontId="23" fillId="6" borderId="13" xfId="0" applyNumberFormat="1" applyFont="1" applyFill="1" applyBorder="1" applyAlignment="1">
      <alignment horizontal="center" vertical="center"/>
    </xf>
    <xf numFmtId="3" fontId="23" fillId="0" borderId="20" xfId="0" applyNumberFormat="1" applyFont="1" applyBorder="1" applyAlignment="1">
      <alignment horizontal="center" vertical="center"/>
    </xf>
    <xf numFmtId="164" fontId="23" fillId="0" borderId="20" xfId="0" applyNumberFormat="1" applyFont="1" applyBorder="1" applyAlignment="1">
      <alignment horizontal="center" vertical="center"/>
    </xf>
    <xf numFmtId="3" fontId="22" fillId="0" borderId="10" xfId="0" applyNumberFormat="1" applyFont="1" applyBorder="1" applyAlignment="1">
      <alignment horizontal="center" vertical="center"/>
    </xf>
    <xf numFmtId="3" fontId="23" fillId="0" borderId="10" xfId="0" applyNumberFormat="1" applyFont="1" applyBorder="1" applyAlignment="1">
      <alignment horizontal="left" vertical="center" wrapText="1"/>
    </xf>
    <xf numFmtId="3" fontId="23" fillId="23" borderId="13" xfId="0" applyNumberFormat="1" applyFont="1" applyFill="1" applyBorder="1" applyAlignment="1">
      <alignment horizontal="center" vertical="center"/>
    </xf>
    <xf numFmtId="3" fontId="23" fillId="23" borderId="10" xfId="0" applyNumberFormat="1" applyFont="1" applyFill="1" applyBorder="1" applyAlignment="1">
      <alignment horizontal="center" vertical="center"/>
    </xf>
    <xf numFmtId="3" fontId="23" fillId="23" borderId="16" xfId="0" applyNumberFormat="1" applyFont="1" applyFill="1" applyBorder="1" applyAlignment="1">
      <alignment horizontal="center" vertical="center"/>
    </xf>
    <xf numFmtId="3" fontId="27" fillId="0" borderId="13" xfId="0" applyNumberFormat="1" applyFont="1" applyBorder="1" applyAlignment="1">
      <alignment horizontal="center" vertical="center"/>
    </xf>
    <xf numFmtId="3" fontId="27" fillId="0" borderId="10" xfId="0" applyNumberFormat="1" applyFont="1" applyBorder="1" applyAlignment="1">
      <alignment horizontal="center" vertical="center"/>
    </xf>
    <xf numFmtId="3" fontId="27" fillId="0" borderId="16" xfId="0" applyNumberFormat="1" applyFont="1" applyBorder="1" applyAlignment="1">
      <alignment horizontal="center" vertical="center"/>
    </xf>
    <xf numFmtId="164" fontId="27" fillId="0" borderId="13" xfId="0" applyNumberFormat="1" applyFont="1" applyFill="1" applyBorder="1" applyAlignment="1">
      <alignment horizontal="center" vertical="center"/>
    </xf>
    <xf numFmtId="164" fontId="27" fillId="0" borderId="10" xfId="0" applyNumberFormat="1" applyFont="1" applyFill="1" applyBorder="1" applyAlignment="1">
      <alignment horizontal="center" vertical="center"/>
    </xf>
    <xf numFmtId="164" fontId="27" fillId="0" borderId="16" xfId="0" applyNumberFormat="1" applyFont="1" applyFill="1" applyBorder="1" applyAlignment="1">
      <alignment horizontal="center" vertical="center"/>
    </xf>
    <xf numFmtId="3" fontId="23" fillId="24" borderId="13" xfId="0" applyNumberFormat="1" applyFont="1" applyFill="1" applyBorder="1" applyAlignment="1">
      <alignment horizontal="center" vertical="center"/>
    </xf>
    <xf numFmtId="164" fontId="20" fillId="24" borderId="13" xfId="0" applyNumberFormat="1" applyFont="1" applyFill="1" applyBorder="1" applyAlignment="1">
      <alignment horizontal="center" vertical="center"/>
    </xf>
    <xf numFmtId="3" fontId="23" fillId="24" borderId="10" xfId="0" applyNumberFormat="1" applyFont="1" applyFill="1" applyBorder="1" applyAlignment="1">
      <alignment horizontal="center" vertical="center"/>
    </xf>
    <xf numFmtId="164" fontId="20" fillId="24" borderId="10" xfId="0" applyNumberFormat="1" applyFont="1" applyFill="1" applyBorder="1" applyAlignment="1">
      <alignment horizontal="center" vertical="center"/>
    </xf>
    <xf numFmtId="3" fontId="23" fillId="24" borderId="16" xfId="0" applyNumberFormat="1" applyFont="1" applyFill="1" applyBorder="1" applyAlignment="1">
      <alignment horizontal="center" vertical="center"/>
    </xf>
    <xf numFmtId="164" fontId="20" fillId="24" borderId="16" xfId="0" applyNumberFormat="1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164" fontId="20" fillId="0" borderId="0" xfId="0" applyNumberFormat="1" applyFont="1" applyBorder="1" applyAlignment="1">
      <alignment horizontal="center" vertical="center"/>
    </xf>
    <xf numFmtId="164" fontId="25" fillId="0" borderId="0" xfId="0" applyNumberFormat="1" applyFont="1" applyFill="1" applyBorder="1" applyAlignment="1">
      <alignment/>
    </xf>
    <xf numFmtId="164" fontId="25" fillId="0" borderId="0" xfId="0" applyNumberFormat="1" applyFont="1" applyBorder="1" applyAlignment="1">
      <alignment/>
    </xf>
    <xf numFmtId="3" fontId="20" fillId="0" borderId="16" xfId="0" applyNumberFormat="1" applyFont="1" applyFill="1" applyBorder="1" applyAlignment="1">
      <alignment horizontal="center" vertical="center"/>
    </xf>
    <xf numFmtId="164" fontId="20" fillId="0" borderId="16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0" xfId="0" applyNumberFormat="1" applyAlignment="1">
      <alignment/>
    </xf>
    <xf numFmtId="3" fontId="20" fillId="0" borderId="0" xfId="0" applyNumberFormat="1" applyFont="1" applyFill="1" applyBorder="1" applyAlignment="1">
      <alignment horizontal="center" vertical="center"/>
    </xf>
    <xf numFmtId="164" fontId="23" fillId="0" borderId="13" xfId="0" applyNumberFormat="1" applyFont="1" applyFill="1" applyBorder="1" applyAlignment="1">
      <alignment horizontal="center" vertical="center"/>
    </xf>
    <xf numFmtId="164" fontId="18" fillId="0" borderId="0" xfId="0" applyNumberFormat="1" applyFont="1" applyAlignment="1">
      <alignment/>
    </xf>
    <xf numFmtId="164" fontId="23" fillId="0" borderId="10" xfId="0" applyNumberFormat="1" applyFont="1" applyFill="1" applyBorder="1" applyAlignment="1">
      <alignment horizontal="center"/>
    </xf>
    <xf numFmtId="164" fontId="26" fillId="23" borderId="22" xfId="0" applyNumberFormat="1" applyFont="1" applyFill="1" applyBorder="1" applyAlignment="1">
      <alignment vertical="center"/>
    </xf>
    <xf numFmtId="164" fontId="26" fillId="23" borderId="23" xfId="0" applyNumberFormat="1" applyFont="1" applyFill="1" applyBorder="1" applyAlignment="1">
      <alignment vertical="center"/>
    </xf>
    <xf numFmtId="164" fontId="26" fillId="23" borderId="24" xfId="0" applyNumberFormat="1" applyFont="1" applyFill="1" applyBorder="1" applyAlignment="1">
      <alignment vertical="center"/>
    </xf>
    <xf numFmtId="164" fontId="22" fillId="0" borderId="0" xfId="0" applyNumberFormat="1" applyFont="1" applyBorder="1" applyAlignment="1">
      <alignment/>
    </xf>
    <xf numFmtId="4" fontId="23" fillId="0" borderId="13" xfId="0" applyNumberFormat="1" applyFont="1" applyBorder="1" applyAlignment="1">
      <alignment horizontal="center" vertical="center"/>
    </xf>
    <xf numFmtId="164" fontId="30" fillId="0" borderId="0" xfId="0" applyNumberFormat="1" applyFont="1" applyAlignment="1">
      <alignment/>
    </xf>
    <xf numFmtId="164" fontId="23" fillId="25" borderId="13" xfId="0" applyNumberFormat="1" applyFont="1" applyFill="1" applyBorder="1" applyAlignment="1">
      <alignment horizontal="center" vertical="center"/>
    </xf>
    <xf numFmtId="164" fontId="23" fillId="25" borderId="13" xfId="0" applyNumberFormat="1" applyFont="1" applyFill="1" applyBorder="1" applyAlignment="1">
      <alignment horizontal="center"/>
    </xf>
    <xf numFmtId="0" fontId="34" fillId="0" borderId="0" xfId="0" applyFont="1" applyAlignment="1">
      <alignment/>
    </xf>
    <xf numFmtId="4" fontId="34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18" fillId="0" borderId="0" xfId="0" applyFont="1" applyAlignment="1">
      <alignment horizontal="right"/>
    </xf>
    <xf numFmtId="0" fontId="20" fillId="0" borderId="0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4" fontId="29" fillId="0" borderId="16" xfId="0" applyNumberFormat="1" applyFont="1" applyFill="1" applyBorder="1" applyAlignment="1">
      <alignment horizontal="center" vertical="center"/>
    </xf>
    <xf numFmtId="4" fontId="23" fillId="23" borderId="13" xfId="0" applyNumberFormat="1" applyFont="1" applyFill="1" applyBorder="1" applyAlignment="1">
      <alignment horizontal="center" vertical="center"/>
    </xf>
    <xf numFmtId="4" fontId="23" fillId="23" borderId="13" xfId="0" applyNumberFormat="1" applyFont="1" applyFill="1" applyBorder="1" applyAlignment="1">
      <alignment horizontal="center"/>
    </xf>
    <xf numFmtId="4" fontId="23" fillId="23" borderId="26" xfId="0" applyNumberFormat="1" applyFont="1" applyFill="1" applyBorder="1" applyAlignment="1">
      <alignment horizontal="center" vertical="center"/>
    </xf>
    <xf numFmtId="4" fontId="23" fillId="23" borderId="27" xfId="0" applyNumberFormat="1" applyFont="1" applyFill="1" applyBorder="1" applyAlignment="1">
      <alignment horizontal="center" vertical="center"/>
    </xf>
    <xf numFmtId="4" fontId="23" fillId="23" borderId="10" xfId="0" applyNumberFormat="1" applyFont="1" applyFill="1" applyBorder="1" applyAlignment="1">
      <alignment horizontal="center" vertical="center"/>
    </xf>
    <xf numFmtId="4" fontId="23" fillId="23" borderId="10" xfId="0" applyNumberFormat="1" applyFont="1" applyFill="1" applyBorder="1" applyAlignment="1">
      <alignment horizontal="center"/>
    </xf>
    <xf numFmtId="4" fontId="23" fillId="23" borderId="28" xfId="0" applyNumberFormat="1" applyFont="1" applyFill="1" applyBorder="1" applyAlignment="1">
      <alignment horizontal="center" vertical="center"/>
    </xf>
    <xf numFmtId="4" fontId="23" fillId="23" borderId="29" xfId="0" applyNumberFormat="1" applyFont="1" applyFill="1" applyBorder="1" applyAlignment="1">
      <alignment horizontal="center" vertical="center"/>
    </xf>
    <xf numFmtId="4" fontId="23" fillId="23" borderId="16" xfId="0" applyNumberFormat="1" applyFont="1" applyFill="1" applyBorder="1" applyAlignment="1">
      <alignment horizontal="center" vertical="center"/>
    </xf>
    <xf numFmtId="4" fontId="23" fillId="23" borderId="16" xfId="0" applyNumberFormat="1" applyFont="1" applyFill="1" applyBorder="1" applyAlignment="1">
      <alignment horizontal="center"/>
    </xf>
    <xf numFmtId="4" fontId="23" fillId="23" borderId="30" xfId="0" applyNumberFormat="1" applyFont="1" applyFill="1" applyBorder="1" applyAlignment="1">
      <alignment horizontal="center" vertical="center"/>
    </xf>
    <xf numFmtId="4" fontId="23" fillId="23" borderId="31" xfId="0" applyNumberFormat="1" applyFont="1" applyFill="1" applyBorder="1" applyAlignment="1">
      <alignment horizontal="center" vertical="center"/>
    </xf>
    <xf numFmtId="4" fontId="29" fillId="0" borderId="13" xfId="0" applyNumberFormat="1" applyFont="1" applyBorder="1" applyAlignment="1">
      <alignment horizontal="center" vertical="center"/>
    </xf>
    <xf numFmtId="4" fontId="29" fillId="0" borderId="13" xfId="0" applyNumberFormat="1" applyFont="1" applyBorder="1" applyAlignment="1">
      <alignment horizontal="center"/>
    </xf>
    <xf numFmtId="4" fontId="29" fillId="0" borderId="26" xfId="0" applyNumberFormat="1" applyFont="1" applyBorder="1" applyAlignment="1">
      <alignment horizontal="center"/>
    </xf>
    <xf numFmtId="4" fontId="29" fillId="0" borderId="27" xfId="0" applyNumberFormat="1" applyFont="1" applyBorder="1" applyAlignment="1">
      <alignment horizontal="center"/>
    </xf>
    <xf numFmtId="4" fontId="29" fillId="0" borderId="10" xfId="0" applyNumberFormat="1" applyFont="1" applyBorder="1" applyAlignment="1">
      <alignment horizontal="center" vertical="center"/>
    </xf>
    <xf numFmtId="4" fontId="29" fillId="0" borderId="28" xfId="0" applyNumberFormat="1" applyFont="1" applyBorder="1" applyAlignment="1">
      <alignment horizontal="center"/>
    </xf>
    <xf numFmtId="4" fontId="29" fillId="0" borderId="29" xfId="0" applyNumberFormat="1" applyFont="1" applyBorder="1" applyAlignment="1">
      <alignment horizontal="center"/>
    </xf>
    <xf numFmtId="4" fontId="29" fillId="0" borderId="16" xfId="0" applyNumberFormat="1" applyFont="1" applyBorder="1" applyAlignment="1">
      <alignment horizontal="center"/>
    </xf>
    <xf numFmtId="4" fontId="29" fillId="0" borderId="16" xfId="0" applyNumberFormat="1" applyFont="1" applyBorder="1" applyAlignment="1">
      <alignment horizontal="center" vertical="center"/>
    </xf>
    <xf numFmtId="4" fontId="29" fillId="0" borderId="30" xfId="0" applyNumberFormat="1" applyFont="1" applyBorder="1" applyAlignment="1">
      <alignment horizontal="center"/>
    </xf>
    <xf numFmtId="4" fontId="29" fillId="0" borderId="31" xfId="0" applyNumberFormat="1" applyFont="1" applyBorder="1" applyAlignment="1">
      <alignment horizontal="center"/>
    </xf>
    <xf numFmtId="4" fontId="29" fillId="0" borderId="13" xfId="0" applyNumberFormat="1" applyFont="1" applyFill="1" applyBorder="1" applyAlignment="1">
      <alignment horizontal="center"/>
    </xf>
    <xf numFmtId="4" fontId="29" fillId="0" borderId="26" xfId="0" applyNumberFormat="1" applyFont="1" applyBorder="1" applyAlignment="1">
      <alignment horizontal="center" vertical="center"/>
    </xf>
    <xf numFmtId="4" fontId="29" fillId="0" borderId="27" xfId="0" applyNumberFormat="1" applyFont="1" applyBorder="1" applyAlignment="1">
      <alignment horizontal="center" vertical="center"/>
    </xf>
    <xf numFmtId="4" fontId="29" fillId="0" borderId="15" xfId="0" applyNumberFormat="1" applyFont="1" applyBorder="1" applyAlignment="1">
      <alignment horizontal="center"/>
    </xf>
    <xf numFmtId="4" fontId="27" fillId="0" borderId="13" xfId="0" applyNumberFormat="1" applyFont="1" applyFill="1" applyBorder="1" applyAlignment="1">
      <alignment horizontal="center" vertical="center"/>
    </xf>
    <xf numFmtId="4" fontId="23" fillId="0" borderId="26" xfId="0" applyNumberFormat="1" applyFont="1" applyFill="1" applyBorder="1" applyAlignment="1">
      <alignment horizontal="center" vertical="center"/>
    </xf>
    <xf numFmtId="4" fontId="23" fillId="0" borderId="27" xfId="0" applyNumberFormat="1" applyFont="1" applyFill="1" applyBorder="1" applyAlignment="1">
      <alignment horizontal="center" vertical="center"/>
    </xf>
    <xf numFmtId="4" fontId="27" fillId="0" borderId="10" xfId="0" applyNumberFormat="1" applyFont="1" applyFill="1" applyBorder="1" applyAlignment="1">
      <alignment horizontal="center" vertical="center"/>
    </xf>
    <xf numFmtId="4" fontId="23" fillId="0" borderId="28" xfId="0" applyNumberFormat="1" applyFont="1" applyFill="1" applyBorder="1" applyAlignment="1">
      <alignment horizontal="center" vertical="center"/>
    </xf>
    <xf numFmtId="4" fontId="23" fillId="0" borderId="29" xfId="0" applyNumberFormat="1" applyFont="1" applyFill="1" applyBorder="1" applyAlignment="1">
      <alignment horizontal="center" vertical="center"/>
    </xf>
    <xf numFmtId="4" fontId="27" fillId="0" borderId="16" xfId="0" applyNumberFormat="1" applyFont="1" applyFill="1" applyBorder="1" applyAlignment="1">
      <alignment horizontal="center" vertical="center"/>
    </xf>
    <xf numFmtId="4" fontId="23" fillId="0" borderId="30" xfId="0" applyNumberFormat="1" applyFont="1" applyFill="1" applyBorder="1" applyAlignment="1">
      <alignment horizontal="center" vertical="center"/>
    </xf>
    <xf numFmtId="4" fontId="23" fillId="0" borderId="31" xfId="0" applyNumberFormat="1" applyFont="1" applyFill="1" applyBorder="1" applyAlignment="1">
      <alignment horizontal="center" vertical="center"/>
    </xf>
    <xf numFmtId="4" fontId="26" fillId="23" borderId="22" xfId="0" applyNumberFormat="1" applyFont="1" applyFill="1" applyBorder="1" applyAlignment="1">
      <alignment vertical="center"/>
    </xf>
    <xf numFmtId="4" fontId="26" fillId="23" borderId="23" xfId="0" applyNumberFormat="1" applyFont="1" applyFill="1" applyBorder="1" applyAlignment="1">
      <alignment horizontal="center" vertical="center"/>
    </xf>
    <xf numFmtId="4" fontId="23" fillId="23" borderId="27" xfId="0" applyNumberFormat="1" applyFont="1" applyFill="1" applyBorder="1" applyAlignment="1">
      <alignment horizontal="center"/>
    </xf>
    <xf numFmtId="4" fontId="23" fillId="23" borderId="28" xfId="0" applyNumberFormat="1" applyFont="1" applyFill="1" applyBorder="1" applyAlignment="1">
      <alignment horizontal="center"/>
    </xf>
    <xf numFmtId="4" fontId="23" fillId="23" borderId="29" xfId="0" applyNumberFormat="1" applyFont="1" applyFill="1" applyBorder="1" applyAlignment="1">
      <alignment horizontal="center"/>
    </xf>
    <xf numFmtId="4" fontId="23" fillId="23" borderId="31" xfId="0" applyNumberFormat="1" applyFont="1" applyFill="1" applyBorder="1" applyAlignment="1">
      <alignment horizontal="center"/>
    </xf>
    <xf numFmtId="4" fontId="23" fillId="23" borderId="30" xfId="0" applyNumberFormat="1" applyFont="1" applyFill="1" applyBorder="1" applyAlignment="1">
      <alignment horizontal="center"/>
    </xf>
    <xf numFmtId="4" fontId="29" fillId="0" borderId="13" xfId="0" applyNumberFormat="1" applyFont="1" applyFill="1" applyBorder="1" applyAlignment="1">
      <alignment horizontal="center" vertical="center"/>
    </xf>
    <xf numFmtId="4" fontId="23" fillId="23" borderId="32" xfId="0" applyNumberFormat="1" applyFont="1" applyFill="1" applyBorder="1" applyAlignment="1">
      <alignment horizontal="center" vertical="center"/>
    </xf>
    <xf numFmtId="4" fontId="23" fillId="23" borderId="15" xfId="0" applyNumberFormat="1" applyFont="1" applyFill="1" applyBorder="1" applyAlignment="1">
      <alignment horizontal="center" vertical="center"/>
    </xf>
    <xf numFmtId="4" fontId="23" fillId="23" borderId="17" xfId="0" applyNumberFormat="1" applyFont="1" applyFill="1" applyBorder="1" applyAlignment="1">
      <alignment horizontal="center" vertical="center"/>
    </xf>
    <xf numFmtId="4" fontId="23" fillId="23" borderId="0" xfId="0" applyNumberFormat="1" applyFont="1" applyFill="1" applyBorder="1" applyAlignment="1">
      <alignment horizontal="center" vertical="center"/>
    </xf>
    <xf numFmtId="4" fontId="23" fillId="23" borderId="33" xfId="0" applyNumberFormat="1" applyFont="1" applyFill="1" applyBorder="1" applyAlignment="1">
      <alignment horizontal="center" vertical="center"/>
    </xf>
    <xf numFmtId="4" fontId="23" fillId="6" borderId="13" xfId="0" applyNumberFormat="1" applyFont="1" applyFill="1" applyBorder="1" applyAlignment="1">
      <alignment horizontal="center" vertical="center"/>
    </xf>
    <xf numFmtId="4" fontId="23" fillId="6" borderId="26" xfId="0" applyNumberFormat="1" applyFont="1" applyFill="1" applyBorder="1" applyAlignment="1">
      <alignment horizontal="center" vertical="center"/>
    </xf>
    <xf numFmtId="4" fontId="23" fillId="6" borderId="27" xfId="0" applyNumberFormat="1" applyFont="1" applyFill="1" applyBorder="1" applyAlignment="1">
      <alignment horizontal="center" vertical="center"/>
    </xf>
    <xf numFmtId="4" fontId="23" fillId="6" borderId="10" xfId="0" applyNumberFormat="1" applyFont="1" applyFill="1" applyBorder="1" applyAlignment="1">
      <alignment horizontal="center" vertical="center"/>
    </xf>
    <xf numFmtId="4" fontId="23" fillId="6" borderId="28" xfId="0" applyNumberFormat="1" applyFont="1" applyFill="1" applyBorder="1" applyAlignment="1">
      <alignment horizontal="center" vertical="center"/>
    </xf>
    <xf numFmtId="4" fontId="23" fillId="6" borderId="29" xfId="0" applyNumberFormat="1" applyFont="1" applyFill="1" applyBorder="1" applyAlignment="1">
      <alignment horizontal="center" vertical="center"/>
    </xf>
    <xf numFmtId="4" fontId="23" fillId="6" borderId="16" xfId="0" applyNumberFormat="1" applyFont="1" applyFill="1" applyBorder="1" applyAlignment="1">
      <alignment horizontal="center" vertical="center"/>
    </xf>
    <xf numFmtId="4" fontId="23" fillId="6" borderId="31" xfId="0" applyNumberFormat="1" applyFont="1" applyFill="1" applyBorder="1" applyAlignment="1">
      <alignment horizontal="center" vertical="center"/>
    </xf>
    <xf numFmtId="4" fontId="23" fillId="0" borderId="34" xfId="0" applyNumberFormat="1" applyFont="1" applyBorder="1" applyAlignment="1">
      <alignment horizontal="center" vertical="center"/>
    </xf>
    <xf numFmtId="4" fontId="20" fillId="0" borderId="0" xfId="0" applyNumberFormat="1" applyFont="1" applyBorder="1" applyAlignment="1">
      <alignment horizontal="center" vertical="center"/>
    </xf>
    <xf numFmtId="4" fontId="29" fillId="0" borderId="10" xfId="0" applyNumberFormat="1" applyFont="1" applyFill="1" applyBorder="1" applyAlignment="1">
      <alignment horizontal="center" vertical="center"/>
    </xf>
    <xf numFmtId="4" fontId="29" fillId="0" borderId="28" xfId="0" applyNumberFormat="1" applyFont="1" applyBorder="1" applyAlignment="1">
      <alignment horizontal="center" vertical="center"/>
    </xf>
    <xf numFmtId="4" fontId="29" fillId="0" borderId="29" xfId="0" applyNumberFormat="1" applyFont="1" applyBorder="1" applyAlignment="1">
      <alignment horizontal="center" vertical="center"/>
    </xf>
    <xf numFmtId="4" fontId="29" fillId="0" borderId="30" xfId="0" applyNumberFormat="1" applyFont="1" applyBorder="1" applyAlignment="1">
      <alignment horizontal="center" vertical="center"/>
    </xf>
    <xf numFmtId="4" fontId="29" fillId="0" borderId="31" xfId="0" applyNumberFormat="1" applyFont="1" applyBorder="1" applyAlignment="1">
      <alignment horizontal="center" vertical="center"/>
    </xf>
    <xf numFmtId="4" fontId="23" fillId="0" borderId="35" xfId="0" applyNumberFormat="1" applyFont="1" applyBorder="1" applyAlignment="1">
      <alignment horizontal="center" vertical="center"/>
    </xf>
    <xf numFmtId="4" fontId="23" fillId="0" borderId="36" xfId="0" applyNumberFormat="1" applyFont="1" applyBorder="1" applyAlignment="1">
      <alignment horizontal="center" vertical="center"/>
    </xf>
    <xf numFmtId="4" fontId="20" fillId="0" borderId="36" xfId="0" applyNumberFormat="1" applyFont="1" applyBorder="1" applyAlignment="1">
      <alignment horizontal="center" vertical="center"/>
    </xf>
    <xf numFmtId="4" fontId="27" fillId="0" borderId="13" xfId="0" applyNumberFormat="1" applyFont="1" applyBorder="1" applyAlignment="1">
      <alignment horizontal="center" vertical="center"/>
    </xf>
    <xf numFmtId="4" fontId="27" fillId="0" borderId="26" xfId="0" applyNumberFormat="1" applyFont="1" applyBorder="1" applyAlignment="1">
      <alignment horizontal="center" vertical="center"/>
    </xf>
    <xf numFmtId="4" fontId="27" fillId="0" borderId="10" xfId="0" applyNumberFormat="1" applyFont="1" applyBorder="1" applyAlignment="1">
      <alignment horizontal="center" vertical="center"/>
    </xf>
    <xf numFmtId="4" fontId="27" fillId="0" borderId="28" xfId="0" applyNumberFormat="1" applyFont="1" applyBorder="1" applyAlignment="1">
      <alignment horizontal="center" vertical="center"/>
    </xf>
    <xf numFmtId="4" fontId="27" fillId="0" borderId="16" xfId="0" applyNumberFormat="1" applyFont="1" applyBorder="1" applyAlignment="1">
      <alignment horizontal="center" vertical="center"/>
    </xf>
    <xf numFmtId="4" fontId="27" fillId="0" borderId="30" xfId="0" applyNumberFormat="1" applyFont="1" applyBorder="1" applyAlignment="1">
      <alignment horizontal="center" vertical="center"/>
    </xf>
    <xf numFmtId="4" fontId="27" fillId="0" borderId="27" xfId="0" applyNumberFormat="1" applyFont="1" applyBorder="1" applyAlignment="1">
      <alignment horizontal="center" vertical="center"/>
    </xf>
    <xf numFmtId="4" fontId="27" fillId="0" borderId="29" xfId="0" applyNumberFormat="1" applyFont="1" applyBorder="1" applyAlignment="1">
      <alignment horizontal="center" vertical="center"/>
    </xf>
    <xf numFmtId="4" fontId="27" fillId="0" borderId="31" xfId="0" applyNumberFormat="1" applyFont="1" applyBorder="1" applyAlignment="1">
      <alignment horizontal="center" vertical="center"/>
    </xf>
    <xf numFmtId="4" fontId="23" fillId="24" borderId="13" xfId="0" applyNumberFormat="1" applyFont="1" applyFill="1" applyBorder="1" applyAlignment="1">
      <alignment horizontal="center" vertical="center"/>
    </xf>
    <xf numFmtId="4" fontId="20" fillId="24" borderId="13" xfId="0" applyNumberFormat="1" applyFont="1" applyFill="1" applyBorder="1" applyAlignment="1">
      <alignment horizontal="center" vertical="center"/>
    </xf>
    <xf numFmtId="4" fontId="20" fillId="24" borderId="27" xfId="0" applyNumberFormat="1" applyFont="1" applyFill="1" applyBorder="1" applyAlignment="1">
      <alignment horizontal="center" vertical="center"/>
    </xf>
    <xf numFmtId="4" fontId="23" fillId="24" borderId="10" xfId="0" applyNumberFormat="1" applyFont="1" applyFill="1" applyBorder="1" applyAlignment="1">
      <alignment horizontal="center" vertical="center"/>
    </xf>
    <xf numFmtId="4" fontId="20" fillId="24" borderId="10" xfId="0" applyNumberFormat="1" applyFont="1" applyFill="1" applyBorder="1" applyAlignment="1">
      <alignment horizontal="center" vertical="center"/>
    </xf>
    <xf numFmtId="4" fontId="20" fillId="24" borderId="29" xfId="0" applyNumberFormat="1" applyFont="1" applyFill="1" applyBorder="1" applyAlignment="1">
      <alignment horizontal="center" vertical="center"/>
    </xf>
    <xf numFmtId="4" fontId="23" fillId="24" borderId="16" xfId="0" applyNumberFormat="1" applyFont="1" applyFill="1" applyBorder="1" applyAlignment="1">
      <alignment horizontal="center" vertical="center"/>
    </xf>
    <xf numFmtId="4" fontId="20" fillId="24" borderId="16" xfId="0" applyNumberFormat="1" applyFont="1" applyFill="1" applyBorder="1" applyAlignment="1">
      <alignment horizontal="center" vertical="center"/>
    </xf>
    <xf numFmtId="4" fontId="20" fillId="24" borderId="37" xfId="0" applyNumberFormat="1" applyFont="1" applyFill="1" applyBorder="1" applyAlignment="1">
      <alignment horizontal="center" vertical="center"/>
    </xf>
    <xf numFmtId="4" fontId="20" fillId="0" borderId="16" xfId="0" applyNumberFormat="1" applyFont="1" applyFill="1" applyBorder="1" applyAlignment="1">
      <alignment horizontal="center" vertical="center"/>
    </xf>
    <xf numFmtId="4" fontId="20" fillId="0" borderId="30" xfId="0" applyNumberFormat="1" applyFont="1" applyFill="1" applyBorder="1" applyAlignment="1">
      <alignment horizontal="center" vertical="center"/>
    </xf>
    <xf numFmtId="4" fontId="20" fillId="0" borderId="34" xfId="0" applyNumberFormat="1" applyFont="1" applyFill="1" applyBorder="1" applyAlignment="1">
      <alignment horizontal="center" vertical="center"/>
    </xf>
    <xf numFmtId="49" fontId="23" fillId="23" borderId="13" xfId="0" applyNumberFormat="1" applyFont="1" applyFill="1" applyBorder="1" applyAlignment="1">
      <alignment horizontal="center" vertical="center"/>
    </xf>
    <xf numFmtId="49" fontId="23" fillId="23" borderId="26" xfId="0" applyNumberFormat="1" applyFont="1" applyFill="1" applyBorder="1" applyAlignment="1">
      <alignment horizontal="center" vertical="center"/>
    </xf>
    <xf numFmtId="49" fontId="23" fillId="23" borderId="10" xfId="0" applyNumberFormat="1" applyFont="1" applyFill="1" applyBorder="1" applyAlignment="1">
      <alignment horizontal="center" vertical="center"/>
    </xf>
    <xf numFmtId="49" fontId="23" fillId="23" borderId="28" xfId="0" applyNumberFormat="1" applyFont="1" applyFill="1" applyBorder="1" applyAlignment="1">
      <alignment horizontal="center" vertical="center"/>
    </xf>
    <xf numFmtId="49" fontId="23" fillId="23" borderId="16" xfId="0" applyNumberFormat="1" applyFont="1" applyFill="1" applyBorder="1" applyAlignment="1">
      <alignment horizontal="center" vertical="center"/>
    </xf>
    <xf numFmtId="49" fontId="23" fillId="23" borderId="30" xfId="0" applyNumberFormat="1" applyFont="1" applyFill="1" applyBorder="1" applyAlignment="1">
      <alignment horizontal="center" vertical="center"/>
    </xf>
    <xf numFmtId="49" fontId="29" fillId="0" borderId="13" xfId="0" applyNumberFormat="1" applyFont="1" applyBorder="1" applyAlignment="1">
      <alignment horizontal="center" vertical="center"/>
    </xf>
    <xf numFmtId="49" fontId="29" fillId="0" borderId="10" xfId="0" applyNumberFormat="1" applyFont="1" applyBorder="1" applyAlignment="1">
      <alignment horizontal="center" vertical="center"/>
    </xf>
    <xf numFmtId="49" fontId="29" fillId="0" borderId="16" xfId="0" applyNumberFormat="1" applyFont="1" applyBorder="1" applyAlignment="1">
      <alignment horizontal="center" vertical="center"/>
    </xf>
    <xf numFmtId="49" fontId="27" fillId="0" borderId="13" xfId="0" applyNumberFormat="1" applyFont="1" applyFill="1" applyBorder="1" applyAlignment="1">
      <alignment horizontal="center" vertical="center"/>
    </xf>
    <xf numFmtId="49" fontId="27" fillId="0" borderId="10" xfId="0" applyNumberFormat="1" applyFont="1" applyFill="1" applyBorder="1" applyAlignment="1">
      <alignment horizontal="center" vertical="center"/>
    </xf>
    <xf numFmtId="49" fontId="27" fillId="0" borderId="16" xfId="0" applyNumberFormat="1" applyFont="1" applyFill="1" applyBorder="1" applyAlignment="1">
      <alignment horizontal="center" vertical="center"/>
    </xf>
    <xf numFmtId="49" fontId="23" fillId="6" borderId="13" xfId="0" applyNumberFormat="1" applyFont="1" applyFill="1" applyBorder="1" applyAlignment="1">
      <alignment horizontal="center" vertical="center"/>
    </xf>
    <xf numFmtId="49" fontId="23" fillId="6" borderId="10" xfId="0" applyNumberFormat="1" applyFont="1" applyFill="1" applyBorder="1" applyAlignment="1">
      <alignment horizontal="center" vertical="center"/>
    </xf>
    <xf numFmtId="49" fontId="23" fillId="6" borderId="16" xfId="0" applyNumberFormat="1" applyFont="1" applyFill="1" applyBorder="1" applyAlignment="1">
      <alignment horizontal="center" vertical="center"/>
    </xf>
    <xf numFmtId="49" fontId="22" fillId="0" borderId="11" xfId="0" applyNumberFormat="1" applyFont="1" applyBorder="1" applyAlignment="1">
      <alignment horizontal="center" vertical="center"/>
    </xf>
    <xf numFmtId="49" fontId="23" fillId="0" borderId="12" xfId="0" applyNumberFormat="1" applyFont="1" applyBorder="1" applyAlignment="1">
      <alignment horizontal="left" vertical="center" wrapText="1"/>
    </xf>
    <xf numFmtId="49" fontId="23" fillId="0" borderId="16" xfId="0" applyNumberFormat="1" applyFont="1" applyBorder="1" applyAlignment="1">
      <alignment horizontal="center" vertical="center"/>
    </xf>
    <xf numFmtId="49" fontId="26" fillId="0" borderId="12" xfId="0" applyNumberFormat="1" applyFont="1" applyBorder="1" applyAlignment="1">
      <alignment horizontal="center" vertical="center"/>
    </xf>
    <xf numFmtId="49" fontId="23" fillId="0" borderId="30" xfId="0" applyNumberFormat="1" applyFont="1" applyBorder="1" applyAlignment="1">
      <alignment horizontal="center" vertical="center"/>
    </xf>
    <xf numFmtId="49" fontId="23" fillId="0" borderId="13" xfId="0" applyNumberFormat="1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/>
    </xf>
    <xf numFmtId="49" fontId="23" fillId="0" borderId="20" xfId="0" applyNumberFormat="1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left" vertical="center" wrapText="1"/>
    </xf>
    <xf numFmtId="49" fontId="30" fillId="0" borderId="10" xfId="0" applyNumberFormat="1" applyFont="1" applyBorder="1" applyAlignment="1">
      <alignment horizontal="center" vertical="center"/>
    </xf>
    <xf numFmtId="49" fontId="27" fillId="0" borderId="13" xfId="0" applyNumberFormat="1" applyFont="1" applyBorder="1" applyAlignment="1">
      <alignment horizontal="center" vertical="center"/>
    </xf>
    <xf numFmtId="49" fontId="27" fillId="0" borderId="26" xfId="0" applyNumberFormat="1" applyFont="1" applyBorder="1" applyAlignment="1">
      <alignment horizontal="center" vertical="center"/>
    </xf>
    <xf numFmtId="49" fontId="27" fillId="0" borderId="10" xfId="0" applyNumberFormat="1" applyFont="1" applyBorder="1" applyAlignment="1">
      <alignment horizontal="center" vertical="center"/>
    </xf>
    <xf numFmtId="49" fontId="27" fillId="0" borderId="28" xfId="0" applyNumberFormat="1" applyFont="1" applyBorder="1" applyAlignment="1">
      <alignment horizontal="center" vertical="center"/>
    </xf>
    <xf numFmtId="49" fontId="27" fillId="0" borderId="16" xfId="0" applyNumberFormat="1" applyFont="1" applyBorder="1" applyAlignment="1">
      <alignment horizontal="center" vertical="center"/>
    </xf>
    <xf numFmtId="49" fontId="27" fillId="0" borderId="30" xfId="0" applyNumberFormat="1" applyFont="1" applyBorder="1" applyAlignment="1">
      <alignment horizontal="center" vertical="center"/>
    </xf>
    <xf numFmtId="4" fontId="26" fillId="23" borderId="23" xfId="0" applyNumberFormat="1" applyFont="1" applyFill="1" applyBorder="1" applyAlignment="1">
      <alignment vertical="center"/>
    </xf>
    <xf numFmtId="4" fontId="23" fillId="23" borderId="20" xfId="0" applyNumberFormat="1" applyFont="1" applyFill="1" applyBorder="1" applyAlignment="1">
      <alignment horizontal="center"/>
    </xf>
    <xf numFmtId="4" fontId="23" fillId="23" borderId="18" xfId="0" applyNumberFormat="1" applyFont="1" applyFill="1" applyBorder="1" applyAlignment="1">
      <alignment horizontal="center"/>
    </xf>
    <xf numFmtId="4" fontId="23" fillId="23" borderId="37" xfId="0" applyNumberFormat="1" applyFont="1" applyFill="1" applyBorder="1" applyAlignment="1">
      <alignment horizontal="center"/>
    </xf>
    <xf numFmtId="49" fontId="23" fillId="23" borderId="20" xfId="0" applyNumberFormat="1" applyFont="1" applyFill="1" applyBorder="1" applyAlignment="1">
      <alignment horizontal="center" vertical="center"/>
    </xf>
    <xf numFmtId="4" fontId="23" fillId="23" borderId="20" xfId="0" applyNumberFormat="1" applyFont="1" applyFill="1" applyBorder="1" applyAlignment="1">
      <alignment horizontal="center" vertical="center"/>
    </xf>
    <xf numFmtId="49" fontId="23" fillId="23" borderId="18" xfId="0" applyNumberFormat="1" applyFont="1" applyFill="1" applyBorder="1" applyAlignment="1">
      <alignment horizontal="center" vertical="center"/>
    </xf>
    <xf numFmtId="4" fontId="23" fillId="23" borderId="18" xfId="0" applyNumberFormat="1" applyFont="1" applyFill="1" applyBorder="1" applyAlignment="1">
      <alignment horizontal="center" vertical="center"/>
    </xf>
    <xf numFmtId="4" fontId="23" fillId="23" borderId="38" xfId="0" applyNumberFormat="1" applyFont="1" applyFill="1" applyBorder="1" applyAlignment="1">
      <alignment horizontal="center" vertical="center"/>
    </xf>
    <xf numFmtId="49" fontId="23" fillId="23" borderId="27" xfId="0" applyNumberFormat="1" applyFont="1" applyFill="1" applyBorder="1" applyAlignment="1">
      <alignment horizontal="center" vertical="center"/>
    </xf>
    <xf numFmtId="49" fontId="23" fillId="23" borderId="39" xfId="0" applyNumberFormat="1" applyFont="1" applyFill="1" applyBorder="1" applyAlignment="1">
      <alignment horizontal="center" vertical="center"/>
    </xf>
    <xf numFmtId="49" fontId="23" fillId="23" borderId="40" xfId="0" applyNumberFormat="1" applyFont="1" applyFill="1" applyBorder="1" applyAlignment="1">
      <alignment horizontal="center" vertical="center"/>
    </xf>
    <xf numFmtId="4" fontId="23" fillId="23" borderId="41" xfId="0" applyNumberFormat="1" applyFont="1" applyFill="1" applyBorder="1" applyAlignment="1">
      <alignment horizontal="center" vertical="center"/>
    </xf>
    <xf numFmtId="4" fontId="23" fillId="23" borderId="42" xfId="0" applyNumberFormat="1" applyFont="1" applyFill="1" applyBorder="1" applyAlignment="1">
      <alignment horizontal="center"/>
    </xf>
    <xf numFmtId="4" fontId="23" fillId="23" borderId="42" xfId="0" applyNumberFormat="1" applyFont="1" applyFill="1" applyBorder="1" applyAlignment="1">
      <alignment horizontal="center" vertical="center"/>
    </xf>
    <xf numFmtId="4" fontId="23" fillId="23" borderId="43" xfId="0" applyNumberFormat="1" applyFont="1" applyFill="1" applyBorder="1" applyAlignment="1">
      <alignment horizontal="center"/>
    </xf>
    <xf numFmtId="4" fontId="23" fillId="23" borderId="44" xfId="0" applyNumberFormat="1" applyFont="1" applyFill="1" applyBorder="1" applyAlignment="1">
      <alignment horizontal="center"/>
    </xf>
    <xf numFmtId="4" fontId="23" fillId="23" borderId="45" xfId="0" applyNumberFormat="1" applyFont="1" applyFill="1" applyBorder="1" applyAlignment="1">
      <alignment horizontal="center"/>
    </xf>
    <xf numFmtId="4" fontId="23" fillId="23" borderId="45" xfId="0" applyNumberFormat="1" applyFont="1" applyFill="1" applyBorder="1" applyAlignment="1">
      <alignment horizontal="center" vertical="center"/>
    </xf>
    <xf numFmtId="4" fontId="23" fillId="23" borderId="46" xfId="0" applyNumberFormat="1" applyFont="1" applyFill="1" applyBorder="1" applyAlignment="1">
      <alignment horizontal="center"/>
    </xf>
    <xf numFmtId="49" fontId="23" fillId="23" borderId="47" xfId="0" applyNumberFormat="1" applyFont="1" applyFill="1" applyBorder="1" applyAlignment="1">
      <alignment horizontal="center" vertical="center"/>
    </xf>
    <xf numFmtId="4" fontId="23" fillId="23" borderId="43" xfId="0" applyNumberFormat="1" applyFont="1" applyFill="1" applyBorder="1" applyAlignment="1">
      <alignment horizontal="center" vertical="center"/>
    </xf>
    <xf numFmtId="49" fontId="23" fillId="23" borderId="48" xfId="0" applyNumberFormat="1" applyFont="1" applyFill="1" applyBorder="1" applyAlignment="1">
      <alignment horizontal="center" vertical="center"/>
    </xf>
    <xf numFmtId="4" fontId="23" fillId="23" borderId="44" xfId="0" applyNumberFormat="1" applyFont="1" applyFill="1" applyBorder="1" applyAlignment="1">
      <alignment horizontal="center" vertical="center"/>
    </xf>
    <xf numFmtId="49" fontId="23" fillId="23" borderId="49" xfId="0" applyNumberFormat="1" applyFont="1" applyFill="1" applyBorder="1" applyAlignment="1">
      <alignment horizontal="center" vertical="center"/>
    </xf>
    <xf numFmtId="4" fontId="23" fillId="23" borderId="46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4" fontId="30" fillId="0" borderId="0" xfId="0" applyNumberFormat="1" applyFont="1" applyAlignment="1">
      <alignment/>
    </xf>
    <xf numFmtId="4" fontId="18" fillId="0" borderId="0" xfId="0" applyNumberFormat="1" applyFont="1" applyAlignment="1">
      <alignment/>
    </xf>
    <xf numFmtId="4" fontId="22" fillId="0" borderId="0" xfId="0" applyNumberFormat="1" applyFont="1" applyAlignment="1">
      <alignment/>
    </xf>
    <xf numFmtId="4" fontId="22" fillId="0" borderId="0" xfId="0" applyNumberFormat="1" applyFont="1" applyBorder="1" applyAlignment="1">
      <alignment/>
    </xf>
    <xf numFmtId="4" fontId="23" fillId="23" borderId="41" xfId="0" applyNumberFormat="1" applyFont="1" applyFill="1" applyBorder="1" applyAlignment="1">
      <alignment horizontal="center"/>
    </xf>
    <xf numFmtId="4" fontId="23" fillId="23" borderId="50" xfId="0" applyNumberFormat="1" applyFont="1" applyFill="1" applyBorder="1" applyAlignment="1">
      <alignment horizontal="center" vertical="center"/>
    </xf>
    <xf numFmtId="4" fontId="23" fillId="23" borderId="51" xfId="0" applyNumberFormat="1" applyFont="1" applyFill="1" applyBorder="1" applyAlignment="1">
      <alignment horizontal="center" vertical="center"/>
    </xf>
    <xf numFmtId="4" fontId="23" fillId="23" borderId="52" xfId="0" applyNumberFormat="1" applyFont="1" applyFill="1" applyBorder="1" applyAlignment="1">
      <alignment horizontal="center" vertical="center"/>
    </xf>
    <xf numFmtId="4" fontId="23" fillId="23" borderId="48" xfId="0" applyNumberFormat="1" applyFont="1" applyFill="1" applyBorder="1" applyAlignment="1">
      <alignment horizontal="center"/>
    </xf>
    <xf numFmtId="4" fontId="23" fillId="23" borderId="49" xfId="0" applyNumberFormat="1" applyFont="1" applyFill="1" applyBorder="1" applyAlignment="1">
      <alignment horizontal="center" vertical="center"/>
    </xf>
    <xf numFmtId="4" fontId="23" fillId="23" borderId="53" xfId="0" applyNumberFormat="1" applyFont="1" applyFill="1" applyBorder="1" applyAlignment="1">
      <alignment horizontal="center"/>
    </xf>
    <xf numFmtId="4" fontId="23" fillId="23" borderId="54" xfId="0" applyNumberFormat="1" applyFont="1" applyFill="1" applyBorder="1" applyAlignment="1">
      <alignment horizontal="center"/>
    </xf>
    <xf numFmtId="4" fontId="23" fillId="23" borderId="47" xfId="0" applyNumberFormat="1" applyFont="1" applyFill="1" applyBorder="1" applyAlignment="1">
      <alignment horizontal="center"/>
    </xf>
    <xf numFmtId="4" fontId="23" fillId="23" borderId="49" xfId="0" applyNumberFormat="1" applyFont="1" applyFill="1" applyBorder="1" applyAlignment="1">
      <alignment horizontal="center"/>
    </xf>
    <xf numFmtId="4" fontId="23" fillId="23" borderId="38" xfId="0" applyNumberFormat="1" applyFont="1" applyFill="1" applyBorder="1" applyAlignment="1">
      <alignment horizontal="center"/>
    </xf>
    <xf numFmtId="4" fontId="23" fillId="23" borderId="19" xfId="0" applyNumberFormat="1" applyFont="1" applyFill="1" applyBorder="1" applyAlignment="1">
      <alignment horizontal="center" vertical="center"/>
    </xf>
    <xf numFmtId="4" fontId="25" fillId="0" borderId="0" xfId="0" applyNumberFormat="1" applyFont="1" applyAlignment="1">
      <alignment/>
    </xf>
    <xf numFmtId="4" fontId="23" fillId="26" borderId="13" xfId="0" applyNumberFormat="1" applyFont="1" applyFill="1" applyBorder="1" applyAlignment="1">
      <alignment horizontal="center"/>
    </xf>
    <xf numFmtId="4" fontId="23" fillId="26" borderId="10" xfId="0" applyNumberFormat="1" applyFont="1" applyFill="1" applyBorder="1" applyAlignment="1">
      <alignment horizontal="center"/>
    </xf>
    <xf numFmtId="4" fontId="23" fillId="26" borderId="16" xfId="0" applyNumberFormat="1" applyFont="1" applyFill="1" applyBorder="1" applyAlignment="1">
      <alignment horizontal="center"/>
    </xf>
    <xf numFmtId="4" fontId="29" fillId="27" borderId="13" xfId="0" applyNumberFormat="1" applyFont="1" applyFill="1" applyBorder="1" applyAlignment="1">
      <alignment horizontal="center"/>
    </xf>
    <xf numFmtId="4" fontId="29" fillId="27" borderId="10" xfId="0" applyNumberFormat="1" applyFont="1" applyFill="1" applyBorder="1" applyAlignment="1">
      <alignment horizontal="center"/>
    </xf>
    <xf numFmtId="4" fontId="29" fillId="27" borderId="16" xfId="0" applyNumberFormat="1" applyFont="1" applyFill="1" applyBorder="1" applyAlignment="1">
      <alignment horizontal="center"/>
    </xf>
    <xf numFmtId="4" fontId="23" fillId="26" borderId="18" xfId="0" applyNumberFormat="1" applyFont="1" applyFill="1" applyBorder="1" applyAlignment="1">
      <alignment horizontal="center" vertical="center" wrapText="1"/>
    </xf>
    <xf numFmtId="4" fontId="27" fillId="27" borderId="13" xfId="0" applyNumberFormat="1" applyFont="1" applyFill="1" applyBorder="1" applyAlignment="1">
      <alignment horizontal="center"/>
    </xf>
    <xf numFmtId="4" fontId="27" fillId="27" borderId="10" xfId="0" applyNumberFormat="1" applyFont="1" applyFill="1" applyBorder="1" applyAlignment="1">
      <alignment horizontal="center"/>
    </xf>
    <xf numFmtId="4" fontId="27" fillId="27" borderId="16" xfId="0" applyNumberFormat="1" applyFont="1" applyFill="1" applyBorder="1" applyAlignment="1">
      <alignment horizontal="center"/>
    </xf>
    <xf numFmtId="4" fontId="23" fillId="26" borderId="26" xfId="0" applyNumberFormat="1" applyFont="1" applyFill="1" applyBorder="1" applyAlignment="1">
      <alignment horizontal="center"/>
    </xf>
    <xf numFmtId="4" fontId="23" fillId="26" borderId="28" xfId="0" applyNumberFormat="1" applyFont="1" applyFill="1" applyBorder="1" applyAlignment="1">
      <alignment horizontal="center"/>
    </xf>
    <xf numFmtId="4" fontId="23" fillId="26" borderId="41" xfId="0" applyNumberFormat="1" applyFont="1" applyFill="1" applyBorder="1" applyAlignment="1">
      <alignment horizontal="center"/>
    </xf>
    <xf numFmtId="4" fontId="23" fillId="26" borderId="53" xfId="0" applyNumberFormat="1" applyFont="1" applyFill="1" applyBorder="1" applyAlignment="1">
      <alignment horizontal="center"/>
    </xf>
    <xf numFmtId="4" fontId="23" fillId="26" borderId="54" xfId="0" applyNumberFormat="1" applyFont="1" applyFill="1" applyBorder="1" applyAlignment="1">
      <alignment horizontal="center"/>
    </xf>
    <xf numFmtId="4" fontId="23" fillId="26" borderId="38" xfId="0" applyNumberFormat="1" applyFont="1" applyFill="1" applyBorder="1" applyAlignment="1">
      <alignment horizontal="center"/>
    </xf>
    <xf numFmtId="4" fontId="23" fillId="26" borderId="30" xfId="0" applyNumberFormat="1" applyFont="1" applyFill="1" applyBorder="1" applyAlignment="1">
      <alignment horizontal="center"/>
    </xf>
    <xf numFmtId="4" fontId="23" fillId="28" borderId="13" xfId="0" applyNumberFormat="1" applyFont="1" applyFill="1" applyBorder="1" applyAlignment="1">
      <alignment horizontal="center" vertical="center"/>
    </xf>
    <xf numFmtId="4" fontId="23" fillId="28" borderId="10" xfId="0" applyNumberFormat="1" applyFont="1" applyFill="1" applyBorder="1" applyAlignment="1">
      <alignment horizontal="center" vertical="center"/>
    </xf>
    <xf numFmtId="4" fontId="23" fillId="28" borderId="16" xfId="0" applyNumberFormat="1" applyFont="1" applyFill="1" applyBorder="1" applyAlignment="1">
      <alignment horizontal="center" vertical="center"/>
    </xf>
    <xf numFmtId="49" fontId="23" fillId="27" borderId="16" xfId="0" applyNumberFormat="1" applyFont="1" applyFill="1" applyBorder="1" applyAlignment="1">
      <alignment horizontal="center"/>
    </xf>
    <xf numFmtId="4" fontId="29" fillId="27" borderId="13" xfId="0" applyNumberFormat="1" applyFont="1" applyFill="1" applyBorder="1" applyAlignment="1">
      <alignment horizontal="center" vertical="center"/>
    </xf>
    <xf numFmtId="4" fontId="29" fillId="27" borderId="10" xfId="0" applyNumberFormat="1" applyFont="1" applyFill="1" applyBorder="1" applyAlignment="1">
      <alignment horizontal="center" vertical="center"/>
    </xf>
    <xf numFmtId="4" fontId="29" fillId="27" borderId="16" xfId="0" applyNumberFormat="1" applyFont="1" applyFill="1" applyBorder="1" applyAlignment="1">
      <alignment horizontal="center" vertical="center"/>
    </xf>
    <xf numFmtId="4" fontId="23" fillId="26" borderId="13" xfId="0" applyNumberFormat="1" applyFont="1" applyFill="1" applyBorder="1" applyAlignment="1">
      <alignment horizontal="center" vertical="center"/>
    </xf>
    <xf numFmtId="4" fontId="23" fillId="26" borderId="10" xfId="0" applyNumberFormat="1" applyFont="1" applyFill="1" applyBorder="1" applyAlignment="1">
      <alignment horizontal="center" vertical="center"/>
    </xf>
    <xf numFmtId="49" fontId="23" fillId="26" borderId="13" xfId="0" applyNumberFormat="1" applyFont="1" applyFill="1" applyBorder="1" applyAlignment="1">
      <alignment horizontal="center" vertical="center"/>
    </xf>
    <xf numFmtId="49" fontId="23" fillId="26" borderId="10" xfId="0" applyNumberFormat="1" applyFont="1" applyFill="1" applyBorder="1" applyAlignment="1">
      <alignment horizontal="center" vertical="center"/>
    </xf>
    <xf numFmtId="49" fontId="23" fillId="26" borderId="16" xfId="0" applyNumberFormat="1" applyFont="1" applyFill="1" applyBorder="1" applyAlignment="1">
      <alignment horizontal="center" vertical="center"/>
    </xf>
    <xf numFmtId="49" fontId="27" fillId="27" borderId="13" xfId="0" applyNumberFormat="1" applyFont="1" applyFill="1" applyBorder="1" applyAlignment="1">
      <alignment horizontal="center" vertical="center"/>
    </xf>
    <xf numFmtId="49" fontId="27" fillId="27" borderId="10" xfId="0" applyNumberFormat="1" applyFont="1" applyFill="1" applyBorder="1" applyAlignment="1">
      <alignment horizontal="center" vertical="center"/>
    </xf>
    <xf numFmtId="2" fontId="27" fillId="27" borderId="16" xfId="0" applyNumberFormat="1" applyFont="1" applyFill="1" applyBorder="1" applyAlignment="1">
      <alignment horizontal="center" vertical="center"/>
    </xf>
    <xf numFmtId="49" fontId="27" fillId="27" borderId="16" xfId="0" applyNumberFormat="1" applyFont="1" applyFill="1" applyBorder="1" applyAlignment="1">
      <alignment horizontal="center" vertical="center"/>
    </xf>
    <xf numFmtId="4" fontId="27" fillId="27" borderId="13" xfId="0" applyNumberFormat="1" applyFont="1" applyFill="1" applyBorder="1" applyAlignment="1">
      <alignment horizontal="center" vertical="center"/>
    </xf>
    <xf numFmtId="4" fontId="27" fillId="27" borderId="10" xfId="0" applyNumberFormat="1" applyFont="1" applyFill="1" applyBorder="1" applyAlignment="1">
      <alignment horizontal="center" vertical="center"/>
    </xf>
    <xf numFmtId="4" fontId="27" fillId="27" borderId="16" xfId="0" applyNumberFormat="1" applyFont="1" applyFill="1" applyBorder="1" applyAlignment="1">
      <alignment horizontal="center" vertical="center"/>
    </xf>
    <xf numFmtId="4" fontId="29" fillId="0" borderId="37" xfId="0" applyNumberFormat="1" applyFont="1" applyBorder="1" applyAlignment="1">
      <alignment horizontal="center" vertical="center" wrapText="1"/>
    </xf>
    <xf numFmtId="49" fontId="38" fillId="23" borderId="16" xfId="0" applyNumberFormat="1" applyFont="1" applyFill="1" applyBorder="1" applyAlignment="1">
      <alignment horizontal="center" vertical="center"/>
    </xf>
    <xf numFmtId="4" fontId="38" fillId="26" borderId="16" xfId="0" applyNumberFormat="1" applyFont="1" applyFill="1" applyBorder="1" applyAlignment="1">
      <alignment horizontal="center"/>
    </xf>
    <xf numFmtId="4" fontId="38" fillId="23" borderId="10" xfId="0" applyNumberFormat="1" applyFont="1" applyFill="1" applyBorder="1" applyAlignment="1">
      <alignment horizontal="center" vertical="center"/>
    </xf>
    <xf numFmtId="4" fontId="38" fillId="23" borderId="16" xfId="0" applyNumberFormat="1" applyFont="1" applyFill="1" applyBorder="1" applyAlignment="1">
      <alignment horizontal="center" vertical="center"/>
    </xf>
    <xf numFmtId="4" fontId="38" fillId="23" borderId="30" xfId="0" applyNumberFormat="1" applyFont="1" applyFill="1" applyBorder="1" applyAlignment="1">
      <alignment horizontal="center" vertical="center"/>
    </xf>
    <xf numFmtId="4" fontId="38" fillId="23" borderId="31" xfId="0" applyNumberFormat="1" applyFont="1" applyFill="1" applyBorder="1" applyAlignment="1">
      <alignment horizontal="center" vertical="center"/>
    </xf>
    <xf numFmtId="4" fontId="37" fillId="0" borderId="0" xfId="0" applyNumberFormat="1" applyFont="1" applyAlignment="1">
      <alignment/>
    </xf>
    <xf numFmtId="0" fontId="37" fillId="0" borderId="0" xfId="0" applyFont="1" applyAlignment="1">
      <alignment/>
    </xf>
    <xf numFmtId="4" fontId="20" fillId="0" borderId="0" xfId="0" applyNumberFormat="1" applyFont="1" applyFill="1" applyBorder="1" applyAlignment="1">
      <alignment horizontal="center" vertical="center"/>
    </xf>
    <xf numFmtId="4" fontId="20" fillId="24" borderId="20" xfId="0" applyNumberFormat="1" applyFont="1" applyFill="1" applyBorder="1" applyAlignment="1">
      <alignment horizontal="center" vertical="center"/>
    </xf>
    <xf numFmtId="4" fontId="20" fillId="0" borderId="55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/>
    </xf>
    <xf numFmtId="14" fontId="25" fillId="0" borderId="0" xfId="0" applyNumberFormat="1" applyFont="1" applyFill="1" applyAlignment="1">
      <alignment/>
    </xf>
    <xf numFmtId="0" fontId="25" fillId="0" borderId="0" xfId="0" applyFont="1" applyFill="1" applyAlignment="1">
      <alignment/>
    </xf>
    <xf numFmtId="4" fontId="22" fillId="0" borderId="0" xfId="0" applyNumberFormat="1" applyFont="1" applyFill="1" applyAlignment="1">
      <alignment/>
    </xf>
    <xf numFmtId="43" fontId="0" fillId="0" borderId="0" xfId="0" applyNumberFormat="1" applyAlignment="1">
      <alignment/>
    </xf>
    <xf numFmtId="4" fontId="20" fillId="24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43" fontId="0" fillId="0" borderId="0" xfId="60" applyBorder="1" applyAlignment="1">
      <alignment/>
    </xf>
    <xf numFmtId="4" fontId="0" fillId="0" borderId="0" xfId="0" applyNumberFormat="1" applyBorder="1" applyAlignment="1">
      <alignment/>
    </xf>
    <xf numFmtId="0" fontId="20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2" fontId="20" fillId="0" borderId="0" xfId="0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4" fontId="27" fillId="0" borderId="0" xfId="0" applyNumberFormat="1" applyFont="1" applyBorder="1" applyAlignment="1">
      <alignment horizontal="center" vertical="center" wrapText="1"/>
    </xf>
    <xf numFmtId="4" fontId="23" fillId="29" borderId="13" xfId="0" applyNumberFormat="1" applyFont="1" applyFill="1" applyBorder="1" applyAlignment="1">
      <alignment horizontal="center" vertical="center"/>
    </xf>
    <xf numFmtId="4" fontId="23" fillId="29" borderId="10" xfId="0" applyNumberFormat="1" applyFont="1" applyFill="1" applyBorder="1" applyAlignment="1">
      <alignment horizontal="center" vertical="center"/>
    </xf>
    <xf numFmtId="4" fontId="23" fillId="29" borderId="16" xfId="0" applyNumberFormat="1" applyFont="1" applyFill="1" applyBorder="1" applyAlignment="1">
      <alignment horizontal="center" vertical="center"/>
    </xf>
    <xf numFmtId="4" fontId="38" fillId="29" borderId="16" xfId="0" applyNumberFormat="1" applyFont="1" applyFill="1" applyBorder="1" applyAlignment="1">
      <alignment horizontal="center" vertical="center"/>
    </xf>
    <xf numFmtId="4" fontId="27" fillId="30" borderId="13" xfId="0" applyNumberFormat="1" applyFont="1" applyFill="1" applyBorder="1" applyAlignment="1">
      <alignment horizontal="center" vertical="center"/>
    </xf>
    <xf numFmtId="4" fontId="27" fillId="30" borderId="10" xfId="0" applyNumberFormat="1" applyFont="1" applyFill="1" applyBorder="1" applyAlignment="1">
      <alignment horizontal="center" vertical="center"/>
    </xf>
    <xf numFmtId="4" fontId="27" fillId="30" borderId="16" xfId="0" applyNumberFormat="1" applyFont="1" applyFill="1" applyBorder="1" applyAlignment="1">
      <alignment horizontal="center" vertical="center"/>
    </xf>
    <xf numFmtId="4" fontId="27" fillId="31" borderId="0" xfId="0" applyNumberFormat="1" applyFont="1" applyFill="1" applyBorder="1" applyAlignment="1">
      <alignment horizontal="center" vertical="center" wrapText="1"/>
    </xf>
    <xf numFmtId="4" fontId="23" fillId="26" borderId="56" xfId="0" applyNumberFormat="1" applyFont="1" applyFill="1" applyBorder="1" applyAlignment="1">
      <alignment horizontal="center"/>
    </xf>
    <xf numFmtId="4" fontId="23" fillId="23" borderId="35" xfId="0" applyNumberFormat="1" applyFont="1" applyFill="1" applyBorder="1" applyAlignment="1">
      <alignment horizontal="center"/>
    </xf>
    <xf numFmtId="4" fontId="23" fillId="23" borderId="57" xfId="0" applyNumberFormat="1" applyFont="1" applyFill="1" applyBorder="1" applyAlignment="1">
      <alignment horizontal="center"/>
    </xf>
    <xf numFmtId="4" fontId="23" fillId="23" borderId="58" xfId="0" applyNumberFormat="1" applyFont="1" applyFill="1" applyBorder="1" applyAlignment="1">
      <alignment horizontal="center"/>
    </xf>
    <xf numFmtId="4" fontId="23" fillId="23" borderId="59" xfId="0" applyNumberFormat="1" applyFont="1" applyFill="1" applyBorder="1" applyAlignment="1">
      <alignment horizontal="center"/>
    </xf>
    <xf numFmtId="4" fontId="23" fillId="23" borderId="60" xfId="0" applyNumberFormat="1" applyFont="1" applyFill="1" applyBorder="1" applyAlignment="1">
      <alignment horizontal="center"/>
    </xf>
    <xf numFmtId="4" fontId="23" fillId="23" borderId="51" xfId="0" applyNumberFormat="1" applyFont="1" applyFill="1" applyBorder="1" applyAlignment="1">
      <alignment horizontal="center"/>
    </xf>
    <xf numFmtId="4" fontId="23" fillId="23" borderId="61" xfId="0" applyNumberFormat="1" applyFont="1" applyFill="1" applyBorder="1" applyAlignment="1">
      <alignment horizontal="center"/>
    </xf>
    <xf numFmtId="4" fontId="23" fillId="23" borderId="62" xfId="0" applyNumberFormat="1" applyFont="1" applyFill="1" applyBorder="1" applyAlignment="1">
      <alignment horizontal="center"/>
    </xf>
    <xf numFmtId="4" fontId="23" fillId="23" borderId="63" xfId="0" applyNumberFormat="1" applyFont="1" applyFill="1" applyBorder="1" applyAlignment="1">
      <alignment horizontal="center"/>
    </xf>
    <xf numFmtId="4" fontId="23" fillId="23" borderId="64" xfId="0" applyNumberFormat="1" applyFont="1" applyFill="1" applyBorder="1" applyAlignment="1">
      <alignment horizontal="center"/>
    </xf>
    <xf numFmtId="4" fontId="23" fillId="23" borderId="65" xfId="0" applyNumberFormat="1" applyFont="1" applyFill="1" applyBorder="1" applyAlignment="1">
      <alignment horizontal="center"/>
    </xf>
    <xf numFmtId="4" fontId="23" fillId="23" borderId="66" xfId="0" applyNumberFormat="1" applyFont="1" applyFill="1" applyBorder="1" applyAlignment="1">
      <alignment horizontal="center"/>
    </xf>
    <xf numFmtId="4" fontId="23" fillId="32" borderId="13" xfId="0" applyNumberFormat="1" applyFont="1" applyFill="1" applyBorder="1" applyAlignment="1">
      <alignment horizontal="center" vertical="center"/>
    </xf>
    <xf numFmtId="4" fontId="23" fillId="32" borderId="10" xfId="0" applyNumberFormat="1" applyFont="1" applyFill="1" applyBorder="1" applyAlignment="1">
      <alignment horizontal="center" vertical="center"/>
    </xf>
    <xf numFmtId="4" fontId="38" fillId="32" borderId="16" xfId="0" applyNumberFormat="1" applyFont="1" applyFill="1" applyBorder="1" applyAlignment="1">
      <alignment horizontal="center" vertical="center"/>
    </xf>
    <xf numFmtId="4" fontId="27" fillId="0" borderId="13" xfId="0" applyNumberFormat="1" applyFont="1" applyFill="1" applyBorder="1" applyAlignment="1">
      <alignment horizontal="center"/>
    </xf>
    <xf numFmtId="4" fontId="27" fillId="0" borderId="10" xfId="0" applyNumberFormat="1" applyFont="1" applyFill="1" applyBorder="1" applyAlignment="1">
      <alignment horizontal="center"/>
    </xf>
    <xf numFmtId="4" fontId="27" fillId="0" borderId="16" xfId="0" applyNumberFormat="1" applyFont="1" applyFill="1" applyBorder="1" applyAlignment="1">
      <alignment horizontal="center"/>
    </xf>
    <xf numFmtId="4" fontId="23" fillId="33" borderId="13" xfId="0" applyNumberFormat="1" applyFont="1" applyFill="1" applyBorder="1" applyAlignment="1">
      <alignment horizontal="center"/>
    </xf>
    <xf numFmtId="4" fontId="23" fillId="33" borderId="13" xfId="0" applyNumberFormat="1" applyFont="1" applyFill="1" applyBorder="1" applyAlignment="1">
      <alignment horizontal="center" vertical="center"/>
    </xf>
    <xf numFmtId="4" fontId="23" fillId="33" borderId="10" xfId="0" applyNumberFormat="1" applyFont="1" applyFill="1" applyBorder="1" applyAlignment="1">
      <alignment horizontal="center"/>
    </xf>
    <xf numFmtId="4" fontId="23" fillId="33" borderId="10" xfId="0" applyNumberFormat="1" applyFont="1" applyFill="1" applyBorder="1" applyAlignment="1">
      <alignment horizontal="center" vertical="center"/>
    </xf>
    <xf numFmtId="4" fontId="23" fillId="33" borderId="16" xfId="0" applyNumberFormat="1" applyFont="1" applyFill="1" applyBorder="1" applyAlignment="1">
      <alignment horizontal="center"/>
    </xf>
    <xf numFmtId="4" fontId="23" fillId="32" borderId="16" xfId="0" applyNumberFormat="1" applyFont="1" applyFill="1" applyBorder="1" applyAlignment="1">
      <alignment horizontal="center" vertical="center"/>
    </xf>
    <xf numFmtId="4" fontId="38" fillId="33" borderId="16" xfId="0" applyNumberFormat="1" applyFont="1" applyFill="1" applyBorder="1" applyAlignment="1">
      <alignment horizontal="center"/>
    </xf>
    <xf numFmtId="4" fontId="38" fillId="33" borderId="10" xfId="0" applyNumberFormat="1" applyFont="1" applyFill="1" applyBorder="1" applyAlignment="1">
      <alignment horizontal="center" vertical="center"/>
    </xf>
    <xf numFmtId="4" fontId="38" fillId="33" borderId="23" xfId="0" applyNumberFormat="1" applyFont="1" applyFill="1" applyBorder="1" applyAlignment="1">
      <alignment horizontal="center"/>
    </xf>
    <xf numFmtId="4" fontId="27" fillId="32" borderId="43" xfId="0" applyNumberFormat="1" applyFont="1" applyFill="1" applyBorder="1" applyAlignment="1">
      <alignment horizontal="center" vertical="center"/>
    </xf>
    <xf numFmtId="4" fontId="27" fillId="32" borderId="44" xfId="0" applyNumberFormat="1" applyFont="1" applyFill="1" applyBorder="1" applyAlignment="1">
      <alignment horizontal="center" vertical="center"/>
    </xf>
    <xf numFmtId="4" fontId="23" fillId="33" borderId="66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 vertical="center" wrapText="1"/>
    </xf>
    <xf numFmtId="4" fontId="27" fillId="0" borderId="0" xfId="0" applyNumberFormat="1" applyFont="1" applyFill="1" applyBorder="1" applyAlignment="1">
      <alignment horizontal="center" vertical="center" wrapText="1"/>
    </xf>
    <xf numFmtId="4" fontId="20" fillId="34" borderId="55" xfId="0" applyNumberFormat="1" applyFont="1" applyFill="1" applyBorder="1" applyAlignment="1">
      <alignment horizontal="center" vertical="center"/>
    </xf>
    <xf numFmtId="4" fontId="20" fillId="34" borderId="34" xfId="0" applyNumberFormat="1" applyFont="1" applyFill="1" applyBorder="1" applyAlignment="1">
      <alignment horizontal="center" vertical="center"/>
    </xf>
    <xf numFmtId="9" fontId="30" fillId="0" borderId="0" xfId="0" applyNumberFormat="1" applyFont="1" applyAlignment="1">
      <alignment/>
    </xf>
    <xf numFmtId="4" fontId="18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4" fontId="37" fillId="0" borderId="0" xfId="0" applyNumberFormat="1" applyFont="1" applyFill="1" applyAlignment="1">
      <alignment/>
    </xf>
    <xf numFmtId="0" fontId="37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18" fillId="0" borderId="0" xfId="0" applyFont="1" applyFill="1" applyAlignment="1">
      <alignment/>
    </xf>
    <xf numFmtId="4" fontId="30" fillId="0" borderId="0" xfId="0" applyNumberFormat="1" applyFont="1" applyFill="1" applyAlignment="1">
      <alignment/>
    </xf>
    <xf numFmtId="0" fontId="30" fillId="0" borderId="0" xfId="0" applyFont="1" applyFill="1" applyAlignment="1">
      <alignment/>
    </xf>
    <xf numFmtId="4" fontId="25" fillId="0" borderId="0" xfId="0" applyNumberFormat="1" applyFont="1" applyFill="1" applyAlignment="1">
      <alignment/>
    </xf>
    <xf numFmtId="0" fontId="0" fillId="35" borderId="0" xfId="0" applyFill="1" applyAlignment="1">
      <alignment/>
    </xf>
    <xf numFmtId="4" fontId="0" fillId="35" borderId="0" xfId="0" applyNumberFormat="1" applyFill="1" applyAlignment="1">
      <alignment/>
    </xf>
    <xf numFmtId="0" fontId="0" fillId="35" borderId="0" xfId="0" applyFill="1" applyAlignment="1">
      <alignment horizontal="right"/>
    </xf>
    <xf numFmtId="0" fontId="18" fillId="35" borderId="0" xfId="0" applyFont="1" applyFill="1" applyAlignment="1">
      <alignment horizontal="right"/>
    </xf>
    <xf numFmtId="0" fontId="18" fillId="35" borderId="0" xfId="0" applyFont="1" applyFill="1" applyAlignment="1">
      <alignment/>
    </xf>
    <xf numFmtId="0" fontId="18" fillId="35" borderId="0" xfId="0" applyFont="1" applyFill="1" applyAlignment="1">
      <alignment horizontal="right" vertical="center"/>
    </xf>
    <xf numFmtId="0" fontId="20" fillId="35" borderId="0" xfId="0" applyFont="1" applyFill="1" applyBorder="1" applyAlignment="1">
      <alignment horizontal="center" vertical="center"/>
    </xf>
    <xf numFmtId="0" fontId="20" fillId="35" borderId="0" xfId="0" applyFont="1" applyFill="1" applyBorder="1" applyAlignment="1">
      <alignment horizontal="center" vertical="center" wrapText="1"/>
    </xf>
    <xf numFmtId="0" fontId="21" fillId="35" borderId="0" xfId="0" applyFont="1" applyFill="1" applyAlignment="1">
      <alignment/>
    </xf>
    <xf numFmtId="0" fontId="21" fillId="35" borderId="0" xfId="0" applyFont="1" applyFill="1" applyAlignment="1">
      <alignment horizontal="center" vertical="center" wrapText="1"/>
    </xf>
    <xf numFmtId="0" fontId="23" fillId="35" borderId="0" xfId="0" applyFont="1" applyFill="1" applyBorder="1" applyAlignment="1">
      <alignment vertical="center"/>
    </xf>
    <xf numFmtId="0" fontId="23" fillId="35" borderId="67" xfId="0" applyFont="1" applyFill="1" applyBorder="1" applyAlignment="1">
      <alignment vertical="center"/>
    </xf>
    <xf numFmtId="0" fontId="24" fillId="35" borderId="10" xfId="0" applyFont="1" applyFill="1" applyBorder="1" applyAlignment="1">
      <alignment horizontal="center"/>
    </xf>
    <xf numFmtId="2" fontId="20" fillId="35" borderId="20" xfId="0" applyNumberFormat="1" applyFont="1" applyFill="1" applyBorder="1" applyAlignment="1">
      <alignment horizontal="center" vertical="center" wrapText="1"/>
    </xf>
    <xf numFmtId="2" fontId="20" fillId="35" borderId="10" xfId="0" applyNumberFormat="1" applyFont="1" applyFill="1" applyBorder="1" applyAlignment="1">
      <alignment horizontal="center" vertical="center" wrapText="1"/>
    </xf>
    <xf numFmtId="2" fontId="20" fillId="35" borderId="41" xfId="0" applyNumberFormat="1" applyFont="1" applyFill="1" applyBorder="1" applyAlignment="1">
      <alignment horizontal="center" vertical="center" wrapText="1"/>
    </xf>
    <xf numFmtId="49" fontId="23" fillId="36" borderId="13" xfId="0" applyNumberFormat="1" applyFont="1" applyFill="1" applyBorder="1" applyAlignment="1">
      <alignment horizontal="center" vertical="center"/>
    </xf>
    <xf numFmtId="4" fontId="23" fillId="36" borderId="13" xfId="0" applyNumberFormat="1" applyFont="1" applyFill="1" applyBorder="1" applyAlignment="1">
      <alignment horizontal="center"/>
    </xf>
    <xf numFmtId="4" fontId="23" fillId="36" borderId="13" xfId="0" applyNumberFormat="1" applyFont="1" applyFill="1" applyBorder="1" applyAlignment="1">
      <alignment horizontal="center" vertical="center"/>
    </xf>
    <xf numFmtId="4" fontId="23" fillId="36" borderId="26" xfId="0" applyNumberFormat="1" applyFont="1" applyFill="1" applyBorder="1" applyAlignment="1">
      <alignment horizontal="center" vertical="center"/>
    </xf>
    <xf numFmtId="4" fontId="23" fillId="36" borderId="68" xfId="0" applyNumberFormat="1" applyFont="1" applyFill="1" applyBorder="1" applyAlignment="1">
      <alignment horizontal="center" vertical="center"/>
    </xf>
    <xf numFmtId="49" fontId="23" fillId="36" borderId="10" xfId="0" applyNumberFormat="1" applyFont="1" applyFill="1" applyBorder="1" applyAlignment="1">
      <alignment horizontal="center" vertical="center"/>
    </xf>
    <xf numFmtId="4" fontId="23" fillId="36" borderId="10" xfId="0" applyNumberFormat="1" applyFont="1" applyFill="1" applyBorder="1" applyAlignment="1">
      <alignment horizontal="center"/>
    </xf>
    <xf numFmtId="4" fontId="23" fillId="36" borderId="10" xfId="0" applyNumberFormat="1" applyFont="1" applyFill="1" applyBorder="1" applyAlignment="1">
      <alignment horizontal="center" vertical="center"/>
    </xf>
    <xf numFmtId="4" fontId="23" fillId="36" borderId="28" xfId="0" applyNumberFormat="1" applyFont="1" applyFill="1" applyBorder="1" applyAlignment="1">
      <alignment horizontal="center" vertical="center"/>
    </xf>
    <xf numFmtId="4" fontId="23" fillId="36" borderId="69" xfId="0" applyNumberFormat="1" applyFont="1" applyFill="1" applyBorder="1" applyAlignment="1">
      <alignment horizontal="center" vertical="center"/>
    </xf>
    <xf numFmtId="49" fontId="23" fillId="36" borderId="16" xfId="0" applyNumberFormat="1" applyFont="1" applyFill="1" applyBorder="1" applyAlignment="1">
      <alignment horizontal="center" vertical="center"/>
    </xf>
    <xf numFmtId="4" fontId="23" fillId="36" borderId="16" xfId="0" applyNumberFormat="1" applyFont="1" applyFill="1" applyBorder="1" applyAlignment="1">
      <alignment horizontal="center"/>
    </xf>
    <xf numFmtId="4" fontId="23" fillId="36" borderId="16" xfId="0" applyNumberFormat="1" applyFont="1" applyFill="1" applyBorder="1" applyAlignment="1">
      <alignment horizontal="center" vertical="center"/>
    </xf>
    <xf numFmtId="4" fontId="23" fillId="36" borderId="30" xfId="0" applyNumberFormat="1" applyFont="1" applyFill="1" applyBorder="1" applyAlignment="1">
      <alignment horizontal="center" vertical="center"/>
    </xf>
    <xf numFmtId="4" fontId="23" fillId="36" borderId="70" xfId="0" applyNumberFormat="1" applyFont="1" applyFill="1" applyBorder="1" applyAlignment="1">
      <alignment horizontal="center" vertical="center"/>
    </xf>
    <xf numFmtId="49" fontId="29" fillId="35" borderId="13" xfId="0" applyNumberFormat="1" applyFont="1" applyFill="1" applyBorder="1" applyAlignment="1">
      <alignment horizontal="center" vertical="center"/>
    </xf>
    <xf numFmtId="4" fontId="29" fillId="35" borderId="13" xfId="0" applyNumberFormat="1" applyFont="1" applyFill="1" applyBorder="1" applyAlignment="1">
      <alignment horizontal="center"/>
    </xf>
    <xf numFmtId="4" fontId="29" fillId="35" borderId="13" xfId="0" applyNumberFormat="1" applyFont="1" applyFill="1" applyBorder="1" applyAlignment="1">
      <alignment horizontal="center" vertical="center"/>
    </xf>
    <xf numFmtId="4" fontId="29" fillId="35" borderId="26" xfId="0" applyNumberFormat="1" applyFont="1" applyFill="1" applyBorder="1" applyAlignment="1">
      <alignment horizontal="center"/>
    </xf>
    <xf numFmtId="4" fontId="29" fillId="35" borderId="68" xfId="0" applyNumberFormat="1" applyFont="1" applyFill="1" applyBorder="1" applyAlignment="1">
      <alignment horizontal="center"/>
    </xf>
    <xf numFmtId="49" fontId="29" fillId="35" borderId="10" xfId="0" applyNumberFormat="1" applyFont="1" applyFill="1" applyBorder="1" applyAlignment="1">
      <alignment horizontal="center" vertical="center"/>
    </xf>
    <xf numFmtId="4" fontId="29" fillId="35" borderId="10" xfId="0" applyNumberFormat="1" applyFont="1" applyFill="1" applyBorder="1" applyAlignment="1">
      <alignment horizontal="center"/>
    </xf>
    <xf numFmtId="4" fontId="29" fillId="35" borderId="10" xfId="0" applyNumberFormat="1" applyFont="1" applyFill="1" applyBorder="1" applyAlignment="1">
      <alignment horizontal="center" vertical="center"/>
    </xf>
    <xf numFmtId="4" fontId="29" fillId="35" borderId="28" xfId="0" applyNumberFormat="1" applyFont="1" applyFill="1" applyBorder="1" applyAlignment="1">
      <alignment horizontal="center"/>
    </xf>
    <xf numFmtId="4" fontId="29" fillId="35" borderId="69" xfId="0" applyNumberFormat="1" applyFont="1" applyFill="1" applyBorder="1" applyAlignment="1">
      <alignment horizontal="center"/>
    </xf>
    <xf numFmtId="4" fontId="29" fillId="35" borderId="16" xfId="0" applyNumberFormat="1" applyFont="1" applyFill="1" applyBorder="1" applyAlignment="1">
      <alignment horizontal="center"/>
    </xf>
    <xf numFmtId="4" fontId="29" fillId="35" borderId="16" xfId="0" applyNumberFormat="1" applyFont="1" applyFill="1" applyBorder="1" applyAlignment="1">
      <alignment horizontal="center" vertical="center"/>
    </xf>
    <xf numFmtId="4" fontId="29" fillId="35" borderId="30" xfId="0" applyNumberFormat="1" applyFont="1" applyFill="1" applyBorder="1" applyAlignment="1">
      <alignment horizontal="center"/>
    </xf>
    <xf numFmtId="4" fontId="29" fillId="35" borderId="70" xfId="0" applyNumberFormat="1" applyFont="1" applyFill="1" applyBorder="1" applyAlignment="1">
      <alignment horizontal="center"/>
    </xf>
    <xf numFmtId="4" fontId="29" fillId="35" borderId="26" xfId="0" applyNumberFormat="1" applyFont="1" applyFill="1" applyBorder="1" applyAlignment="1">
      <alignment horizontal="center" vertical="center"/>
    </xf>
    <xf numFmtId="4" fontId="29" fillId="35" borderId="68" xfId="0" applyNumberFormat="1" applyFont="1" applyFill="1" applyBorder="1" applyAlignment="1">
      <alignment horizontal="center" vertical="center"/>
    </xf>
    <xf numFmtId="4" fontId="29" fillId="35" borderId="15" xfId="0" applyNumberFormat="1" applyFont="1" applyFill="1" applyBorder="1" applyAlignment="1">
      <alignment horizontal="center"/>
    </xf>
    <xf numFmtId="4" fontId="23" fillId="36" borderId="18" xfId="0" applyNumberFormat="1" applyFont="1" applyFill="1" applyBorder="1" applyAlignment="1">
      <alignment horizontal="center" vertical="center" wrapText="1"/>
    </xf>
    <xf numFmtId="49" fontId="27" fillId="35" borderId="13" xfId="0" applyNumberFormat="1" applyFont="1" applyFill="1" applyBorder="1" applyAlignment="1">
      <alignment horizontal="center" vertical="center"/>
    </xf>
    <xf numFmtId="4" fontId="27" fillId="35" borderId="13" xfId="0" applyNumberFormat="1" applyFont="1" applyFill="1" applyBorder="1" applyAlignment="1">
      <alignment horizontal="center"/>
    </xf>
    <xf numFmtId="4" fontId="27" fillId="35" borderId="13" xfId="0" applyNumberFormat="1" applyFont="1" applyFill="1" applyBorder="1" applyAlignment="1">
      <alignment horizontal="center" vertical="center"/>
    </xf>
    <xf numFmtId="4" fontId="23" fillId="35" borderId="26" xfId="0" applyNumberFormat="1" applyFont="1" applyFill="1" applyBorder="1" applyAlignment="1">
      <alignment horizontal="center" vertical="center"/>
    </xf>
    <xf numFmtId="49" fontId="27" fillId="35" borderId="10" xfId="0" applyNumberFormat="1" applyFont="1" applyFill="1" applyBorder="1" applyAlignment="1">
      <alignment horizontal="center" vertical="center"/>
    </xf>
    <xf numFmtId="4" fontId="27" fillId="35" borderId="10" xfId="0" applyNumberFormat="1" applyFont="1" applyFill="1" applyBorder="1" applyAlignment="1">
      <alignment horizontal="center"/>
    </xf>
    <xf numFmtId="4" fontId="27" fillId="35" borderId="10" xfId="0" applyNumberFormat="1" applyFont="1" applyFill="1" applyBorder="1" applyAlignment="1">
      <alignment horizontal="center" vertical="center"/>
    </xf>
    <xf numFmtId="4" fontId="23" fillId="35" borderId="28" xfId="0" applyNumberFormat="1" applyFont="1" applyFill="1" applyBorder="1" applyAlignment="1">
      <alignment horizontal="center" vertical="center"/>
    </xf>
    <xf numFmtId="49" fontId="27" fillId="35" borderId="16" xfId="0" applyNumberFormat="1" applyFont="1" applyFill="1" applyBorder="1" applyAlignment="1">
      <alignment horizontal="center" vertical="center"/>
    </xf>
    <xf numFmtId="4" fontId="27" fillId="35" borderId="16" xfId="0" applyNumberFormat="1" applyFont="1" applyFill="1" applyBorder="1" applyAlignment="1">
      <alignment horizontal="center"/>
    </xf>
    <xf numFmtId="4" fontId="27" fillId="35" borderId="16" xfId="0" applyNumberFormat="1" applyFont="1" applyFill="1" applyBorder="1" applyAlignment="1">
      <alignment horizontal="center" vertical="center"/>
    </xf>
    <xf numFmtId="4" fontId="23" fillId="35" borderId="30" xfId="0" applyNumberFormat="1" applyFont="1" applyFill="1" applyBorder="1" applyAlignment="1">
      <alignment horizontal="center" vertical="center"/>
    </xf>
    <xf numFmtId="4" fontId="23" fillId="35" borderId="68" xfId="0" applyNumberFormat="1" applyFont="1" applyFill="1" applyBorder="1" applyAlignment="1">
      <alignment horizontal="center" vertical="center"/>
    </xf>
    <xf numFmtId="4" fontId="23" fillId="35" borderId="69" xfId="0" applyNumberFormat="1" applyFont="1" applyFill="1" applyBorder="1" applyAlignment="1">
      <alignment horizontal="center" vertical="center"/>
    </xf>
    <xf numFmtId="4" fontId="23" fillId="35" borderId="70" xfId="0" applyNumberFormat="1" applyFont="1" applyFill="1" applyBorder="1" applyAlignment="1">
      <alignment horizontal="center" vertical="center"/>
    </xf>
    <xf numFmtId="4" fontId="23" fillId="36" borderId="20" xfId="0" applyNumberFormat="1" applyFont="1" applyFill="1" applyBorder="1" applyAlignment="1">
      <alignment horizontal="center"/>
    </xf>
    <xf numFmtId="4" fontId="26" fillId="36" borderId="22" xfId="0" applyNumberFormat="1" applyFont="1" applyFill="1" applyBorder="1" applyAlignment="1">
      <alignment vertical="center"/>
    </xf>
    <xf numFmtId="4" fontId="23" fillId="36" borderId="26" xfId="0" applyNumberFormat="1" applyFont="1" applyFill="1" applyBorder="1" applyAlignment="1">
      <alignment horizontal="center"/>
    </xf>
    <xf numFmtId="4" fontId="23" fillId="36" borderId="43" xfId="0" applyNumberFormat="1" applyFont="1" applyFill="1" applyBorder="1" applyAlignment="1">
      <alignment horizontal="center" vertical="center"/>
    </xf>
    <xf numFmtId="4" fontId="23" fillId="36" borderId="50" xfId="0" applyNumberFormat="1" applyFont="1" applyFill="1" applyBorder="1" applyAlignment="1">
      <alignment horizontal="center" vertical="center"/>
    </xf>
    <xf numFmtId="4" fontId="26" fillId="36" borderId="23" xfId="0" applyNumberFormat="1" applyFont="1" applyFill="1" applyBorder="1" applyAlignment="1">
      <alignment horizontal="center" vertical="center"/>
    </xf>
    <xf numFmtId="4" fontId="23" fillId="36" borderId="28" xfId="0" applyNumberFormat="1" applyFont="1" applyFill="1" applyBorder="1" applyAlignment="1">
      <alignment horizontal="center"/>
    </xf>
    <xf numFmtId="4" fontId="23" fillId="36" borderId="48" xfId="0" applyNumberFormat="1" applyFont="1" applyFill="1" applyBorder="1" applyAlignment="1">
      <alignment horizontal="center"/>
    </xf>
    <xf numFmtId="4" fontId="23" fillId="36" borderId="44" xfId="0" applyNumberFormat="1" applyFont="1" applyFill="1" applyBorder="1" applyAlignment="1">
      <alignment horizontal="center" vertical="center"/>
    </xf>
    <xf numFmtId="4" fontId="23" fillId="36" borderId="51" xfId="0" applyNumberFormat="1" applyFont="1" applyFill="1" applyBorder="1" applyAlignment="1">
      <alignment horizontal="center" vertical="center"/>
    </xf>
    <xf numFmtId="49" fontId="23" fillId="36" borderId="20" xfId="0" applyNumberFormat="1" applyFont="1" applyFill="1" applyBorder="1" applyAlignment="1">
      <alignment horizontal="center" vertical="center"/>
    </xf>
    <xf numFmtId="4" fontId="26" fillId="36" borderId="23" xfId="0" applyNumberFormat="1" applyFont="1" applyFill="1" applyBorder="1" applyAlignment="1">
      <alignment vertical="center"/>
    </xf>
    <xf numFmtId="4" fontId="23" fillId="36" borderId="41" xfId="0" applyNumberFormat="1" applyFont="1" applyFill="1" applyBorder="1" applyAlignment="1">
      <alignment horizontal="center"/>
    </xf>
    <xf numFmtId="4" fontId="23" fillId="36" borderId="49" xfId="0" applyNumberFormat="1" applyFont="1" applyFill="1" applyBorder="1" applyAlignment="1">
      <alignment horizontal="center" vertical="center"/>
    </xf>
    <xf numFmtId="4" fontId="23" fillId="36" borderId="46" xfId="0" applyNumberFormat="1" applyFont="1" applyFill="1" applyBorder="1" applyAlignment="1">
      <alignment horizontal="center" vertical="center"/>
    </xf>
    <xf numFmtId="4" fontId="23" fillId="36" borderId="52" xfId="0" applyNumberFormat="1" applyFont="1" applyFill="1" applyBorder="1" applyAlignment="1">
      <alignment horizontal="center" vertical="center"/>
    </xf>
    <xf numFmtId="4" fontId="23" fillId="36" borderId="20" xfId="0" applyNumberFormat="1" applyFont="1" applyFill="1" applyBorder="1" applyAlignment="1">
      <alignment horizontal="center" vertical="center"/>
    </xf>
    <xf numFmtId="4" fontId="23" fillId="36" borderId="41" xfId="0" applyNumberFormat="1" applyFont="1" applyFill="1" applyBorder="1" applyAlignment="1">
      <alignment horizontal="center" vertical="center"/>
    </xf>
    <xf numFmtId="49" fontId="23" fillId="36" borderId="27" xfId="0" applyNumberFormat="1" applyFont="1" applyFill="1" applyBorder="1" applyAlignment="1">
      <alignment horizontal="center" vertical="center"/>
    </xf>
    <xf numFmtId="4" fontId="23" fillId="36" borderId="53" xfId="0" applyNumberFormat="1" applyFont="1" applyFill="1" applyBorder="1" applyAlignment="1">
      <alignment horizontal="center"/>
    </xf>
    <xf numFmtId="4" fontId="23" fillId="36" borderId="42" xfId="0" applyNumberFormat="1" applyFont="1" applyFill="1" applyBorder="1" applyAlignment="1">
      <alignment horizontal="center"/>
    </xf>
    <xf numFmtId="4" fontId="23" fillId="36" borderId="43" xfId="0" applyNumberFormat="1" applyFont="1" applyFill="1" applyBorder="1" applyAlignment="1">
      <alignment horizontal="center"/>
    </xf>
    <xf numFmtId="4" fontId="23" fillId="36" borderId="68" xfId="0" applyNumberFormat="1" applyFont="1" applyFill="1" applyBorder="1" applyAlignment="1">
      <alignment horizontal="center"/>
    </xf>
    <xf numFmtId="49" fontId="23" fillId="36" borderId="39" xfId="0" applyNumberFormat="1" applyFont="1" applyFill="1" applyBorder="1" applyAlignment="1">
      <alignment horizontal="center" vertical="center"/>
    </xf>
    <xf numFmtId="4" fontId="23" fillId="36" borderId="44" xfId="0" applyNumberFormat="1" applyFont="1" applyFill="1" applyBorder="1" applyAlignment="1">
      <alignment horizontal="center"/>
    </xf>
    <xf numFmtId="4" fontId="23" fillId="36" borderId="69" xfId="0" applyNumberFormat="1" applyFont="1" applyFill="1" applyBorder="1" applyAlignment="1">
      <alignment horizontal="center"/>
    </xf>
    <xf numFmtId="49" fontId="23" fillId="36" borderId="40" xfId="0" applyNumberFormat="1" applyFont="1" applyFill="1" applyBorder="1" applyAlignment="1">
      <alignment horizontal="center" vertical="center"/>
    </xf>
    <xf numFmtId="4" fontId="23" fillId="36" borderId="54" xfId="0" applyNumberFormat="1" applyFont="1" applyFill="1" applyBorder="1" applyAlignment="1">
      <alignment horizontal="center"/>
    </xf>
    <xf numFmtId="4" fontId="23" fillId="36" borderId="49" xfId="0" applyNumberFormat="1" applyFont="1" applyFill="1" applyBorder="1" applyAlignment="1">
      <alignment horizontal="center"/>
    </xf>
    <xf numFmtId="4" fontId="23" fillId="36" borderId="45" xfId="0" applyNumberFormat="1" applyFont="1" applyFill="1" applyBorder="1" applyAlignment="1">
      <alignment horizontal="center"/>
    </xf>
    <xf numFmtId="4" fontId="23" fillId="36" borderId="46" xfId="0" applyNumberFormat="1" applyFont="1" applyFill="1" applyBorder="1" applyAlignment="1">
      <alignment horizontal="center"/>
    </xf>
    <xf numFmtId="4" fontId="23" fillId="36" borderId="71" xfId="0" applyNumberFormat="1" applyFont="1" applyFill="1" applyBorder="1" applyAlignment="1">
      <alignment horizontal="center"/>
    </xf>
    <xf numFmtId="49" fontId="23" fillId="36" borderId="47" xfId="0" applyNumberFormat="1" applyFont="1" applyFill="1" applyBorder="1" applyAlignment="1">
      <alignment horizontal="center" vertical="center"/>
    </xf>
    <xf numFmtId="4" fontId="23" fillId="36" borderId="47" xfId="0" applyNumberFormat="1" applyFont="1" applyFill="1" applyBorder="1" applyAlignment="1">
      <alignment horizontal="center"/>
    </xf>
    <xf numFmtId="4" fontId="23" fillId="36" borderId="42" xfId="0" applyNumberFormat="1" applyFont="1" applyFill="1" applyBorder="1" applyAlignment="1">
      <alignment horizontal="center" vertical="center"/>
    </xf>
    <xf numFmtId="49" fontId="23" fillId="36" borderId="48" xfId="0" applyNumberFormat="1" applyFont="1" applyFill="1" applyBorder="1" applyAlignment="1">
      <alignment horizontal="center" vertical="center"/>
    </xf>
    <xf numFmtId="49" fontId="23" fillId="36" borderId="49" xfId="0" applyNumberFormat="1" applyFont="1" applyFill="1" applyBorder="1" applyAlignment="1">
      <alignment horizontal="center" vertical="center"/>
    </xf>
    <xf numFmtId="4" fontId="23" fillId="36" borderId="45" xfId="0" applyNumberFormat="1" applyFont="1" applyFill="1" applyBorder="1" applyAlignment="1">
      <alignment horizontal="center" vertical="center"/>
    </xf>
    <xf numFmtId="49" fontId="23" fillId="36" borderId="18" xfId="0" applyNumberFormat="1" applyFont="1" applyFill="1" applyBorder="1" applyAlignment="1">
      <alignment horizontal="center" vertical="center"/>
    </xf>
    <xf numFmtId="4" fontId="23" fillId="36" borderId="38" xfId="0" applyNumberFormat="1" applyFont="1" applyFill="1" applyBorder="1" applyAlignment="1">
      <alignment horizontal="center"/>
    </xf>
    <xf numFmtId="4" fontId="23" fillId="36" borderId="30" xfId="0" applyNumberFormat="1" applyFont="1" applyFill="1" applyBorder="1" applyAlignment="1">
      <alignment horizontal="center"/>
    </xf>
    <xf numFmtId="4" fontId="23" fillId="36" borderId="18" xfId="0" applyNumberFormat="1" applyFont="1" applyFill="1" applyBorder="1" applyAlignment="1">
      <alignment horizontal="center"/>
    </xf>
    <xf numFmtId="4" fontId="23" fillId="36" borderId="18" xfId="0" applyNumberFormat="1" applyFont="1" applyFill="1" applyBorder="1" applyAlignment="1">
      <alignment horizontal="center" vertical="center"/>
    </xf>
    <xf numFmtId="4" fontId="23" fillId="36" borderId="38" xfId="0" applyNumberFormat="1" applyFont="1" applyFill="1" applyBorder="1" applyAlignment="1">
      <alignment horizontal="center" vertical="center"/>
    </xf>
    <xf numFmtId="4" fontId="23" fillId="36" borderId="70" xfId="0" applyNumberFormat="1" applyFont="1" applyFill="1" applyBorder="1" applyAlignment="1">
      <alignment horizontal="center"/>
    </xf>
    <xf numFmtId="4" fontId="29" fillId="35" borderId="71" xfId="0" applyNumberFormat="1" applyFont="1" applyFill="1" applyBorder="1" applyAlignment="1">
      <alignment horizontal="center" vertical="center" wrapText="1"/>
    </xf>
    <xf numFmtId="4" fontId="23" fillId="36" borderId="56" xfId="0" applyNumberFormat="1" applyFont="1" applyFill="1" applyBorder="1" applyAlignment="1">
      <alignment horizontal="center"/>
    </xf>
    <xf numFmtId="4" fontId="23" fillId="35" borderId="43" xfId="0" applyNumberFormat="1" applyFont="1" applyFill="1" applyBorder="1" applyAlignment="1">
      <alignment horizontal="center" vertical="center"/>
    </xf>
    <xf numFmtId="4" fontId="23" fillId="36" borderId="60" xfId="0" applyNumberFormat="1" applyFont="1" applyFill="1" applyBorder="1" applyAlignment="1">
      <alignment horizontal="center"/>
    </xf>
    <xf numFmtId="4" fontId="23" fillId="36" borderId="72" xfId="0" applyNumberFormat="1" applyFont="1" applyFill="1" applyBorder="1" applyAlignment="1">
      <alignment horizontal="center"/>
    </xf>
    <xf numFmtId="4" fontId="23" fillId="36" borderId="63" xfId="0" applyNumberFormat="1" applyFont="1" applyFill="1" applyBorder="1" applyAlignment="1">
      <alignment horizontal="center"/>
    </xf>
    <xf numFmtId="4" fontId="23" fillId="35" borderId="44" xfId="0" applyNumberFormat="1" applyFont="1" applyFill="1" applyBorder="1" applyAlignment="1">
      <alignment horizontal="center" vertical="center"/>
    </xf>
    <xf numFmtId="4" fontId="23" fillId="36" borderId="51" xfId="0" applyNumberFormat="1" applyFont="1" applyFill="1" applyBorder="1" applyAlignment="1">
      <alignment horizontal="center"/>
    </xf>
    <xf numFmtId="4" fontId="23" fillId="36" borderId="73" xfId="0" applyNumberFormat="1" applyFont="1" applyFill="1" applyBorder="1" applyAlignment="1">
      <alignment horizontal="center"/>
    </xf>
    <xf numFmtId="4" fontId="23" fillId="36" borderId="64" xfId="0" applyNumberFormat="1" applyFont="1" applyFill="1" applyBorder="1" applyAlignment="1">
      <alignment horizontal="center"/>
    </xf>
    <xf numFmtId="4" fontId="23" fillId="36" borderId="65" xfId="0" applyNumberFormat="1" applyFont="1" applyFill="1" applyBorder="1" applyAlignment="1">
      <alignment horizontal="center"/>
    </xf>
    <xf numFmtId="4" fontId="23" fillId="36" borderId="66" xfId="0" applyNumberFormat="1" applyFont="1" applyFill="1" applyBorder="1" applyAlignment="1">
      <alignment horizontal="center"/>
    </xf>
    <xf numFmtId="4" fontId="23" fillId="36" borderId="61" xfId="0" applyNumberFormat="1" applyFont="1" applyFill="1" applyBorder="1" applyAlignment="1">
      <alignment horizontal="center"/>
    </xf>
    <xf numFmtId="4" fontId="23" fillId="36" borderId="74" xfId="0" applyNumberFormat="1" applyFont="1" applyFill="1" applyBorder="1" applyAlignment="1">
      <alignment horizontal="center"/>
    </xf>
    <xf numFmtId="4" fontId="23" fillId="36" borderId="62" xfId="0" applyNumberFormat="1" applyFont="1" applyFill="1" applyBorder="1" applyAlignment="1">
      <alignment horizontal="center"/>
    </xf>
    <xf numFmtId="4" fontId="23" fillId="36" borderId="35" xfId="0" applyNumberFormat="1" applyFont="1" applyFill="1" applyBorder="1" applyAlignment="1">
      <alignment horizontal="center"/>
    </xf>
    <xf numFmtId="4" fontId="23" fillId="36" borderId="19" xfId="0" applyNumberFormat="1" applyFont="1" applyFill="1" applyBorder="1" applyAlignment="1">
      <alignment horizontal="center" vertical="center"/>
    </xf>
    <xf numFmtId="4" fontId="23" fillId="36" borderId="32" xfId="0" applyNumberFormat="1" applyFont="1" applyFill="1" applyBorder="1" applyAlignment="1">
      <alignment horizontal="center" vertical="center"/>
    </xf>
    <xf numFmtId="4" fontId="23" fillId="36" borderId="15" xfId="0" applyNumberFormat="1" applyFont="1" applyFill="1" applyBorder="1" applyAlignment="1">
      <alignment horizontal="center" vertical="center"/>
    </xf>
    <xf numFmtId="4" fontId="23" fillId="36" borderId="17" xfId="0" applyNumberFormat="1" applyFont="1" applyFill="1" applyBorder="1" applyAlignment="1">
      <alignment horizontal="center" vertical="center"/>
    </xf>
    <xf numFmtId="4" fontId="23" fillId="36" borderId="0" xfId="0" applyNumberFormat="1" applyFont="1" applyFill="1" applyBorder="1" applyAlignment="1">
      <alignment horizontal="center" vertical="center"/>
    </xf>
    <xf numFmtId="4" fontId="23" fillId="36" borderId="75" xfId="0" applyNumberFormat="1" applyFont="1" applyFill="1" applyBorder="1" applyAlignment="1">
      <alignment horizontal="center" vertical="center"/>
    </xf>
    <xf numFmtId="4" fontId="23" fillId="35" borderId="13" xfId="0" applyNumberFormat="1" applyFont="1" applyFill="1" applyBorder="1" applyAlignment="1">
      <alignment horizontal="center" vertical="center"/>
    </xf>
    <xf numFmtId="4" fontId="23" fillId="35" borderId="10" xfId="0" applyNumberFormat="1" applyFont="1" applyFill="1" applyBorder="1" applyAlignment="1">
      <alignment horizontal="center" vertical="center"/>
    </xf>
    <xf numFmtId="4" fontId="23" fillId="35" borderId="16" xfId="0" applyNumberFormat="1" applyFont="1" applyFill="1" applyBorder="1" applyAlignment="1">
      <alignment horizontal="center" vertical="center"/>
    </xf>
    <xf numFmtId="49" fontId="38" fillId="36" borderId="16" xfId="0" applyNumberFormat="1" applyFont="1" applyFill="1" applyBorder="1" applyAlignment="1">
      <alignment horizontal="center" vertical="center"/>
    </xf>
    <xf numFmtId="4" fontId="38" fillId="36" borderId="16" xfId="0" applyNumberFormat="1" applyFont="1" applyFill="1" applyBorder="1" applyAlignment="1">
      <alignment horizontal="center"/>
    </xf>
    <xf numFmtId="4" fontId="38" fillId="36" borderId="10" xfId="0" applyNumberFormat="1" applyFont="1" applyFill="1" applyBorder="1" applyAlignment="1">
      <alignment horizontal="center" vertical="center"/>
    </xf>
    <xf numFmtId="4" fontId="38" fillId="35" borderId="16" xfId="0" applyNumberFormat="1" applyFont="1" applyFill="1" applyBorder="1" applyAlignment="1">
      <alignment horizontal="center" vertical="center"/>
    </xf>
    <xf numFmtId="4" fontId="38" fillId="36" borderId="16" xfId="0" applyNumberFormat="1" applyFont="1" applyFill="1" applyBorder="1" applyAlignment="1">
      <alignment horizontal="center" vertical="center"/>
    </xf>
    <xf numFmtId="4" fontId="38" fillId="36" borderId="30" xfId="0" applyNumberFormat="1" applyFont="1" applyFill="1" applyBorder="1" applyAlignment="1">
      <alignment horizontal="center" vertical="center"/>
    </xf>
    <xf numFmtId="4" fontId="38" fillId="36" borderId="70" xfId="0" applyNumberFormat="1" applyFont="1" applyFill="1" applyBorder="1" applyAlignment="1">
      <alignment horizontal="center" vertical="center"/>
    </xf>
    <xf numFmtId="4" fontId="38" fillId="36" borderId="23" xfId="0" applyNumberFormat="1" applyFont="1" applyFill="1" applyBorder="1" applyAlignment="1">
      <alignment horizontal="center"/>
    </xf>
    <xf numFmtId="4" fontId="23" fillId="35" borderId="66" xfId="0" applyNumberFormat="1" applyFont="1" applyFill="1" applyBorder="1" applyAlignment="1">
      <alignment horizontal="center"/>
    </xf>
    <xf numFmtId="4" fontId="38" fillId="35" borderId="30" xfId="0" applyNumberFormat="1" applyFont="1" applyFill="1" applyBorder="1" applyAlignment="1">
      <alignment horizontal="center" vertical="center"/>
    </xf>
    <xf numFmtId="49" fontId="23" fillId="37" borderId="13" xfId="0" applyNumberFormat="1" applyFont="1" applyFill="1" applyBorder="1" applyAlignment="1">
      <alignment horizontal="center" vertical="center"/>
    </xf>
    <xf numFmtId="4" fontId="23" fillId="37" borderId="13" xfId="0" applyNumberFormat="1" applyFont="1" applyFill="1" applyBorder="1" applyAlignment="1">
      <alignment horizontal="center" vertical="center"/>
    </xf>
    <xf numFmtId="4" fontId="23" fillId="37" borderId="68" xfId="0" applyNumberFormat="1" applyFont="1" applyFill="1" applyBorder="1" applyAlignment="1">
      <alignment horizontal="center" vertical="center"/>
    </xf>
    <xf numFmtId="49" fontId="23" fillId="37" borderId="10" xfId="0" applyNumberFormat="1" applyFont="1" applyFill="1" applyBorder="1" applyAlignment="1">
      <alignment horizontal="center" vertical="center"/>
    </xf>
    <xf numFmtId="4" fontId="23" fillId="37" borderId="10" xfId="0" applyNumberFormat="1" applyFont="1" applyFill="1" applyBorder="1" applyAlignment="1">
      <alignment horizontal="center" vertical="center"/>
    </xf>
    <xf numFmtId="4" fontId="23" fillId="37" borderId="69" xfId="0" applyNumberFormat="1" applyFont="1" applyFill="1" applyBorder="1" applyAlignment="1">
      <alignment horizontal="center" vertical="center"/>
    </xf>
    <xf numFmtId="49" fontId="23" fillId="37" borderId="16" xfId="0" applyNumberFormat="1" applyFont="1" applyFill="1" applyBorder="1" applyAlignment="1">
      <alignment horizontal="center" vertical="center"/>
    </xf>
    <xf numFmtId="4" fontId="23" fillId="37" borderId="16" xfId="0" applyNumberFormat="1" applyFont="1" applyFill="1" applyBorder="1" applyAlignment="1">
      <alignment horizontal="center" vertical="center"/>
    </xf>
    <xf numFmtId="4" fontId="23" fillId="37" borderId="70" xfId="0" applyNumberFormat="1" applyFont="1" applyFill="1" applyBorder="1" applyAlignment="1">
      <alignment horizontal="center" vertical="center"/>
    </xf>
    <xf numFmtId="49" fontId="22" fillId="35" borderId="11" xfId="0" applyNumberFormat="1" applyFont="1" applyFill="1" applyBorder="1" applyAlignment="1">
      <alignment horizontal="center" vertical="center"/>
    </xf>
    <xf numFmtId="49" fontId="23" fillId="35" borderId="12" xfId="0" applyNumberFormat="1" applyFont="1" applyFill="1" applyBorder="1" applyAlignment="1">
      <alignment horizontal="left" vertical="center" wrapText="1"/>
    </xf>
    <xf numFmtId="49" fontId="23" fillId="35" borderId="16" xfId="0" applyNumberFormat="1" applyFont="1" applyFill="1" applyBorder="1" applyAlignment="1">
      <alignment horizontal="center" vertical="center"/>
    </xf>
    <xf numFmtId="49" fontId="26" fillId="35" borderId="12" xfId="0" applyNumberFormat="1" applyFont="1" applyFill="1" applyBorder="1" applyAlignment="1">
      <alignment horizontal="center" vertical="center"/>
    </xf>
    <xf numFmtId="49" fontId="23" fillId="35" borderId="16" xfId="0" applyNumberFormat="1" applyFont="1" applyFill="1" applyBorder="1" applyAlignment="1">
      <alignment horizontal="center"/>
    </xf>
    <xf numFmtId="49" fontId="23" fillId="35" borderId="30" xfId="0" applyNumberFormat="1" applyFont="1" applyFill="1" applyBorder="1" applyAlignment="1">
      <alignment horizontal="center" vertical="center"/>
    </xf>
    <xf numFmtId="4" fontId="23" fillId="35" borderId="76" xfId="0" applyNumberFormat="1" applyFont="1" applyFill="1" applyBorder="1" applyAlignment="1">
      <alignment horizontal="center" vertical="center"/>
    </xf>
    <xf numFmtId="4" fontId="20" fillId="35" borderId="0" xfId="0" applyNumberFormat="1" applyFont="1" applyFill="1" applyBorder="1" applyAlignment="1">
      <alignment horizontal="center" vertical="center"/>
    </xf>
    <xf numFmtId="4" fontId="29" fillId="35" borderId="28" xfId="0" applyNumberFormat="1" applyFont="1" applyFill="1" applyBorder="1" applyAlignment="1">
      <alignment horizontal="center" vertical="center"/>
    </xf>
    <xf numFmtId="4" fontId="29" fillId="35" borderId="69" xfId="0" applyNumberFormat="1" applyFont="1" applyFill="1" applyBorder="1" applyAlignment="1">
      <alignment horizontal="center" vertical="center"/>
    </xf>
    <xf numFmtId="49" fontId="29" fillId="35" borderId="16" xfId="0" applyNumberFormat="1" applyFont="1" applyFill="1" applyBorder="1" applyAlignment="1">
      <alignment horizontal="center" vertical="center"/>
    </xf>
    <xf numFmtId="4" fontId="29" fillId="35" borderId="30" xfId="0" applyNumberFormat="1" applyFont="1" applyFill="1" applyBorder="1" applyAlignment="1">
      <alignment horizontal="center" vertical="center"/>
    </xf>
    <xf numFmtId="4" fontId="29" fillId="35" borderId="70" xfId="0" applyNumberFormat="1" applyFont="1" applyFill="1" applyBorder="1" applyAlignment="1">
      <alignment horizontal="center" vertical="center"/>
    </xf>
    <xf numFmtId="4" fontId="23" fillId="37" borderId="26" xfId="0" applyNumberFormat="1" applyFont="1" applyFill="1" applyBorder="1" applyAlignment="1">
      <alignment horizontal="center" vertical="center"/>
    </xf>
    <xf numFmtId="4" fontId="23" fillId="37" borderId="28" xfId="0" applyNumberFormat="1" applyFont="1" applyFill="1" applyBorder="1" applyAlignment="1">
      <alignment horizontal="center" vertical="center"/>
    </xf>
    <xf numFmtId="49" fontId="23" fillId="35" borderId="13" xfId="0" applyNumberFormat="1" applyFont="1" applyFill="1" applyBorder="1" applyAlignment="1">
      <alignment horizontal="center" vertical="center"/>
    </xf>
    <xf numFmtId="4" fontId="23" fillId="35" borderId="32" xfId="0" applyNumberFormat="1" applyFont="1" applyFill="1" applyBorder="1" applyAlignment="1">
      <alignment horizontal="center" vertical="center"/>
    </xf>
    <xf numFmtId="49" fontId="23" fillId="35" borderId="10" xfId="0" applyNumberFormat="1" applyFont="1" applyFill="1" applyBorder="1" applyAlignment="1">
      <alignment horizontal="center" vertical="center"/>
    </xf>
    <xf numFmtId="49" fontId="23" fillId="35" borderId="20" xfId="0" applyNumberFormat="1" applyFont="1" applyFill="1" applyBorder="1" applyAlignment="1">
      <alignment horizontal="center" vertical="center"/>
    </xf>
    <xf numFmtId="4" fontId="23" fillId="35" borderId="0" xfId="0" applyNumberFormat="1" applyFont="1" applyFill="1" applyBorder="1" applyAlignment="1">
      <alignment horizontal="center" vertical="center"/>
    </xf>
    <xf numFmtId="49" fontId="22" fillId="35" borderId="10" xfId="0" applyNumberFormat="1" applyFont="1" applyFill="1" applyBorder="1" applyAlignment="1">
      <alignment horizontal="center" vertical="center"/>
    </xf>
    <xf numFmtId="49" fontId="23" fillId="35" borderId="10" xfId="0" applyNumberFormat="1" applyFont="1" applyFill="1" applyBorder="1" applyAlignment="1">
      <alignment horizontal="left" vertical="center" wrapText="1"/>
    </xf>
    <xf numFmtId="49" fontId="30" fillId="35" borderId="10" xfId="0" applyNumberFormat="1" applyFont="1" applyFill="1" applyBorder="1" applyAlignment="1">
      <alignment horizontal="center" vertical="center"/>
    </xf>
    <xf numFmtId="49" fontId="23" fillId="36" borderId="26" xfId="0" applyNumberFormat="1" applyFont="1" applyFill="1" applyBorder="1" applyAlignment="1">
      <alignment horizontal="center" vertical="center"/>
    </xf>
    <xf numFmtId="49" fontId="23" fillId="36" borderId="28" xfId="0" applyNumberFormat="1" applyFont="1" applyFill="1" applyBorder="1" applyAlignment="1">
      <alignment horizontal="center" vertical="center"/>
    </xf>
    <xf numFmtId="49" fontId="23" fillId="36" borderId="30" xfId="0" applyNumberFormat="1" applyFont="1" applyFill="1" applyBorder="1" applyAlignment="1">
      <alignment horizontal="center" vertical="center"/>
    </xf>
    <xf numFmtId="49" fontId="27" fillId="35" borderId="26" xfId="0" applyNumberFormat="1" applyFont="1" applyFill="1" applyBorder="1" applyAlignment="1">
      <alignment horizontal="center" vertical="center"/>
    </xf>
    <xf numFmtId="49" fontId="27" fillId="35" borderId="28" xfId="0" applyNumberFormat="1" applyFont="1" applyFill="1" applyBorder="1" applyAlignment="1">
      <alignment horizontal="center" vertical="center"/>
    </xf>
    <xf numFmtId="2" fontId="27" fillId="35" borderId="16" xfId="0" applyNumberFormat="1" applyFont="1" applyFill="1" applyBorder="1" applyAlignment="1">
      <alignment horizontal="center" vertical="center"/>
    </xf>
    <xf numFmtId="49" fontId="27" fillId="35" borderId="30" xfId="0" applyNumberFormat="1" applyFont="1" applyFill="1" applyBorder="1" applyAlignment="1">
      <alignment horizontal="center" vertical="center"/>
    </xf>
    <xf numFmtId="4" fontId="27" fillId="35" borderId="26" xfId="0" applyNumberFormat="1" applyFont="1" applyFill="1" applyBorder="1" applyAlignment="1">
      <alignment horizontal="center" vertical="center"/>
    </xf>
    <xf numFmtId="4" fontId="27" fillId="35" borderId="68" xfId="0" applyNumberFormat="1" applyFont="1" applyFill="1" applyBorder="1" applyAlignment="1">
      <alignment horizontal="center" vertical="center"/>
    </xf>
    <xf numFmtId="4" fontId="27" fillId="35" borderId="28" xfId="0" applyNumberFormat="1" applyFont="1" applyFill="1" applyBorder="1" applyAlignment="1">
      <alignment horizontal="center" vertical="center"/>
    </xf>
    <xf numFmtId="4" fontId="27" fillId="35" borderId="69" xfId="0" applyNumberFormat="1" applyFont="1" applyFill="1" applyBorder="1" applyAlignment="1">
      <alignment horizontal="center" vertical="center"/>
    </xf>
    <xf numFmtId="4" fontId="27" fillId="35" borderId="30" xfId="0" applyNumberFormat="1" applyFont="1" applyFill="1" applyBorder="1" applyAlignment="1">
      <alignment horizontal="center" vertical="center"/>
    </xf>
    <xf numFmtId="4" fontId="27" fillId="35" borderId="70" xfId="0" applyNumberFormat="1" applyFont="1" applyFill="1" applyBorder="1" applyAlignment="1">
      <alignment horizontal="center" vertical="center"/>
    </xf>
    <xf numFmtId="4" fontId="23" fillId="38" borderId="13" xfId="0" applyNumberFormat="1" applyFont="1" applyFill="1" applyBorder="1" applyAlignment="1">
      <alignment horizontal="center" vertical="center"/>
    </xf>
    <xf numFmtId="4" fontId="20" fillId="38" borderId="10" xfId="0" applyNumberFormat="1" applyFont="1" applyFill="1" applyBorder="1" applyAlignment="1">
      <alignment horizontal="center" vertical="center"/>
    </xf>
    <xf numFmtId="4" fontId="20" fillId="38" borderId="13" xfId="0" applyNumberFormat="1" applyFont="1" applyFill="1" applyBorder="1" applyAlignment="1">
      <alignment horizontal="center" vertical="center"/>
    </xf>
    <xf numFmtId="4" fontId="20" fillId="38" borderId="68" xfId="0" applyNumberFormat="1" applyFont="1" applyFill="1" applyBorder="1" applyAlignment="1">
      <alignment horizontal="center" vertical="center"/>
    </xf>
    <xf numFmtId="4" fontId="23" fillId="38" borderId="10" xfId="0" applyNumberFormat="1" applyFont="1" applyFill="1" applyBorder="1" applyAlignment="1">
      <alignment horizontal="center" vertical="center"/>
    </xf>
    <xf numFmtId="4" fontId="20" fillId="38" borderId="10" xfId="0" applyNumberFormat="1" applyFont="1" applyFill="1" applyBorder="1" applyAlignment="1">
      <alignment horizontal="center" vertical="center"/>
    </xf>
    <xf numFmtId="4" fontId="20" fillId="38" borderId="69" xfId="0" applyNumberFormat="1" applyFont="1" applyFill="1" applyBorder="1" applyAlignment="1">
      <alignment horizontal="center" vertical="center"/>
    </xf>
    <xf numFmtId="4" fontId="23" fillId="38" borderId="16" xfId="0" applyNumberFormat="1" applyFont="1" applyFill="1" applyBorder="1" applyAlignment="1">
      <alignment horizontal="center" vertical="center"/>
    </xf>
    <xf numFmtId="4" fontId="20" fillId="38" borderId="16" xfId="0" applyNumberFormat="1" applyFont="1" applyFill="1" applyBorder="1" applyAlignment="1">
      <alignment horizontal="center" vertical="center"/>
    </xf>
    <xf numFmtId="4" fontId="20" fillId="38" borderId="20" xfId="0" applyNumberFormat="1" applyFont="1" applyFill="1" applyBorder="1" applyAlignment="1">
      <alignment horizontal="center" vertical="center"/>
    </xf>
    <xf numFmtId="4" fontId="20" fillId="38" borderId="71" xfId="0" applyNumberFormat="1" applyFont="1" applyFill="1" applyBorder="1" applyAlignment="1">
      <alignment horizontal="center" vertical="center"/>
    </xf>
    <xf numFmtId="0" fontId="0" fillId="35" borderId="77" xfId="0" applyFill="1" applyBorder="1" applyAlignment="1">
      <alignment/>
    </xf>
    <xf numFmtId="4" fontId="20" fillId="35" borderId="16" xfId="0" applyNumberFormat="1" applyFont="1" applyFill="1" applyBorder="1" applyAlignment="1">
      <alignment horizontal="center" vertical="center"/>
    </xf>
    <xf numFmtId="4" fontId="20" fillId="35" borderId="30" xfId="0" applyNumberFormat="1" applyFont="1" applyFill="1" applyBorder="1" applyAlignment="1">
      <alignment horizontal="center" vertical="center"/>
    </xf>
    <xf numFmtId="4" fontId="20" fillId="35" borderId="55" xfId="0" applyNumberFormat="1" applyFont="1" applyFill="1" applyBorder="1" applyAlignment="1">
      <alignment horizontal="center" vertical="center"/>
    </xf>
    <xf numFmtId="4" fontId="20" fillId="35" borderId="76" xfId="0" applyNumberFormat="1" applyFont="1" applyFill="1" applyBorder="1" applyAlignment="1">
      <alignment horizontal="center" vertical="center"/>
    </xf>
    <xf numFmtId="0" fontId="0" fillId="35" borderId="62" xfId="0" applyFill="1" applyBorder="1" applyAlignment="1">
      <alignment/>
    </xf>
    <xf numFmtId="0" fontId="0" fillId="35" borderId="0" xfId="0" applyNumberFormat="1" applyFill="1" applyAlignment="1">
      <alignment/>
    </xf>
    <xf numFmtId="3" fontId="20" fillId="35" borderId="0" xfId="0" applyNumberFormat="1" applyFont="1" applyFill="1" applyBorder="1" applyAlignment="1">
      <alignment horizontal="center" vertical="center"/>
    </xf>
    <xf numFmtId="164" fontId="0" fillId="35" borderId="0" xfId="0" applyNumberFormat="1" applyFill="1" applyAlignment="1">
      <alignment/>
    </xf>
    <xf numFmtId="4" fontId="20" fillId="35" borderId="0" xfId="0" applyNumberFormat="1" applyFont="1" applyFill="1" applyBorder="1" applyAlignment="1">
      <alignment horizontal="center" vertical="center"/>
    </xf>
    <xf numFmtId="0" fontId="0" fillId="35" borderId="0" xfId="0" applyFill="1" applyBorder="1" applyAlignment="1">
      <alignment/>
    </xf>
    <xf numFmtId="43" fontId="0" fillId="35" borderId="0" xfId="60" applyFill="1" applyBorder="1" applyAlignment="1">
      <alignment/>
    </xf>
    <xf numFmtId="4" fontId="0" fillId="35" borderId="0" xfId="0" applyNumberFormat="1" applyFill="1" applyBorder="1" applyAlignment="1">
      <alignment/>
    </xf>
    <xf numFmtId="43" fontId="0" fillId="35" borderId="0" xfId="0" applyNumberFormat="1" applyFill="1" applyAlignment="1">
      <alignment/>
    </xf>
    <xf numFmtId="4" fontId="27" fillId="35" borderId="0" xfId="0" applyNumberFormat="1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164" fontId="26" fillId="23" borderId="16" xfId="0" applyNumberFormat="1" applyFont="1" applyFill="1" applyBorder="1" applyAlignment="1">
      <alignment horizontal="center" vertical="center"/>
    </xf>
    <xf numFmtId="3" fontId="22" fillId="0" borderId="78" xfId="0" applyNumberFormat="1" applyFont="1" applyFill="1" applyBorder="1" applyAlignment="1">
      <alignment horizontal="center" vertical="center"/>
    </xf>
    <xf numFmtId="3" fontId="22" fillId="0" borderId="79" xfId="0" applyNumberFormat="1" applyFont="1" applyFill="1" applyBorder="1" applyAlignment="1">
      <alignment horizontal="center" vertical="center"/>
    </xf>
    <xf numFmtId="3" fontId="22" fillId="0" borderId="80" xfId="0" applyNumberFormat="1" applyFont="1" applyFill="1" applyBorder="1" applyAlignment="1">
      <alignment horizontal="center" vertical="center"/>
    </xf>
    <xf numFmtId="3" fontId="23" fillId="0" borderId="24" xfId="0" applyNumberFormat="1" applyFont="1" applyBorder="1" applyAlignment="1">
      <alignment horizontal="left" vertical="center" wrapText="1"/>
    </xf>
    <xf numFmtId="3" fontId="28" fillId="0" borderId="11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3" fontId="22" fillId="0" borderId="11" xfId="0" applyNumberFormat="1" applyFont="1" applyBorder="1" applyAlignment="1">
      <alignment horizontal="center" vertical="center"/>
    </xf>
    <xf numFmtId="3" fontId="23" fillId="0" borderId="12" xfId="0" applyNumberFormat="1" applyFont="1" applyBorder="1" applyAlignment="1">
      <alignment horizontal="left" vertical="center" wrapText="1"/>
    </xf>
    <xf numFmtId="164" fontId="26" fillId="23" borderId="12" xfId="0" applyNumberFormat="1" applyFont="1" applyFill="1" applyBorder="1" applyAlignment="1">
      <alignment horizontal="center" vertical="center"/>
    </xf>
    <xf numFmtId="0" fontId="27" fillId="0" borderId="35" xfId="0" applyFont="1" applyBorder="1" applyAlignment="1">
      <alignment horizontal="center" vertical="center" wrapText="1"/>
    </xf>
    <xf numFmtId="3" fontId="29" fillId="0" borderId="12" xfId="0" applyNumberFormat="1" applyFont="1" applyBorder="1" applyAlignment="1">
      <alignment horizontal="left" vertical="center"/>
    </xf>
    <xf numFmtId="164" fontId="29" fillId="0" borderId="12" xfId="0" applyNumberFormat="1" applyFont="1" applyFill="1" applyBorder="1" applyAlignment="1">
      <alignment horizontal="center" vertical="center"/>
    </xf>
    <xf numFmtId="3" fontId="22" fillId="0" borderId="11" xfId="0" applyNumberFormat="1" applyFont="1" applyFill="1" applyBorder="1" applyAlignment="1">
      <alignment horizontal="center" vertical="center"/>
    </xf>
    <xf numFmtId="3" fontId="23" fillId="0" borderId="12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3" fontId="23" fillId="0" borderId="12" xfId="0" applyNumberFormat="1" applyFont="1" applyBorder="1" applyAlignment="1">
      <alignment horizontal="center" vertical="center" wrapText="1"/>
    </xf>
    <xf numFmtId="3" fontId="22" fillId="0" borderId="80" xfId="0" applyNumberFormat="1" applyFont="1" applyBorder="1" applyAlignment="1">
      <alignment horizontal="center" vertical="center"/>
    </xf>
    <xf numFmtId="164" fontId="26" fillId="23" borderId="22" xfId="0" applyNumberFormat="1" applyFont="1" applyFill="1" applyBorder="1" applyAlignment="1">
      <alignment horizontal="center" vertical="center"/>
    </xf>
    <xf numFmtId="164" fontId="26" fillId="23" borderId="23" xfId="0" applyNumberFormat="1" applyFont="1" applyFill="1" applyBorder="1" applyAlignment="1">
      <alignment horizontal="center" vertical="center"/>
    </xf>
    <xf numFmtId="164" fontId="26" fillId="23" borderId="24" xfId="0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3" fontId="23" fillId="0" borderId="22" xfId="0" applyNumberFormat="1" applyFont="1" applyBorder="1" applyAlignment="1">
      <alignment horizontal="left" vertical="center" wrapText="1"/>
    </xf>
    <xf numFmtId="3" fontId="23" fillId="0" borderId="23" xfId="0" applyNumberFormat="1" applyFont="1" applyBorder="1" applyAlignment="1">
      <alignment horizontal="left" vertical="center" wrapText="1"/>
    </xf>
    <xf numFmtId="164" fontId="23" fillId="0" borderId="13" xfId="0" applyNumberFormat="1" applyFont="1" applyBorder="1" applyAlignment="1">
      <alignment horizontal="center" vertical="center"/>
    </xf>
    <xf numFmtId="3" fontId="22" fillId="6" borderId="11" xfId="0" applyNumberFormat="1" applyFont="1" applyFill="1" applyBorder="1" applyAlignment="1">
      <alignment horizontal="center" vertical="center"/>
    </xf>
    <xf numFmtId="3" fontId="23" fillId="6" borderId="12" xfId="0" applyNumberFormat="1" applyFont="1" applyFill="1" applyBorder="1" applyAlignment="1">
      <alignment horizontal="center" vertical="center" wrapText="1"/>
    </xf>
    <xf numFmtId="164" fontId="30" fillId="6" borderId="81" xfId="0" applyNumberFormat="1" applyFont="1" applyFill="1" applyBorder="1" applyAlignment="1">
      <alignment horizontal="center" vertical="center"/>
    </xf>
    <xf numFmtId="4" fontId="23" fillId="0" borderId="10" xfId="0" applyNumberFormat="1" applyFont="1" applyFill="1" applyBorder="1" applyAlignment="1">
      <alignment horizontal="left" vertical="center" wrapText="1"/>
    </xf>
    <xf numFmtId="3" fontId="22" fillId="0" borderId="78" xfId="0" applyNumberFormat="1" applyFont="1" applyBorder="1" applyAlignment="1">
      <alignment horizontal="center" vertical="center"/>
    </xf>
    <xf numFmtId="3" fontId="22" fillId="0" borderId="79" xfId="0" applyNumberFormat="1" applyFont="1" applyBorder="1" applyAlignment="1">
      <alignment horizontal="center" vertical="center"/>
    </xf>
    <xf numFmtId="165" fontId="22" fillId="0" borderId="11" xfId="0" applyNumberFormat="1" applyFont="1" applyBorder="1" applyAlignment="1">
      <alignment horizontal="center" vertical="center"/>
    </xf>
    <xf numFmtId="164" fontId="30" fillId="0" borderId="81" xfId="0" applyNumberFormat="1" applyFont="1" applyBorder="1" applyAlignment="1">
      <alignment horizontal="center" vertical="center"/>
    </xf>
    <xf numFmtId="164" fontId="30" fillId="0" borderId="81" xfId="0" applyNumberFormat="1" applyFont="1" applyBorder="1" applyAlignment="1">
      <alignment horizontal="center" vertical="center" wrapText="1"/>
    </xf>
    <xf numFmtId="164" fontId="30" fillId="0" borderId="10" xfId="0" applyNumberFormat="1" applyFont="1" applyBorder="1" applyAlignment="1">
      <alignment horizontal="center" vertical="center"/>
    </xf>
    <xf numFmtId="164" fontId="30" fillId="0" borderId="82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3" fontId="23" fillId="23" borderId="12" xfId="0" applyNumberFormat="1" applyFont="1" applyFill="1" applyBorder="1" applyAlignment="1">
      <alignment horizontal="left" vertical="center" wrapText="1"/>
    </xf>
    <xf numFmtId="164" fontId="30" fillId="23" borderId="82" xfId="0" applyNumberFormat="1" applyFont="1" applyFill="1" applyBorder="1" applyAlignment="1">
      <alignment horizontal="center" vertical="center"/>
    </xf>
    <xf numFmtId="3" fontId="27" fillId="0" borderId="12" xfId="0" applyNumberFormat="1" applyFont="1" applyBorder="1" applyAlignment="1">
      <alignment horizontal="left" vertical="center" wrapText="1"/>
    </xf>
    <xf numFmtId="164" fontId="31" fillId="0" borderId="82" xfId="0" applyNumberFormat="1" applyFont="1" applyFill="1" applyBorder="1" applyAlignment="1">
      <alignment horizontal="center" vertical="center"/>
    </xf>
    <xf numFmtId="164" fontId="31" fillId="0" borderId="82" xfId="0" applyNumberFormat="1" applyFont="1" applyBorder="1" applyAlignment="1">
      <alignment horizontal="center" vertical="center"/>
    </xf>
    <xf numFmtId="164" fontId="27" fillId="0" borderId="10" xfId="0" applyNumberFormat="1" applyFont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3" fontId="27" fillId="6" borderId="12" xfId="0" applyNumberFormat="1" applyFont="1" applyFill="1" applyBorder="1" applyAlignment="1">
      <alignment horizontal="left" vertical="center" wrapText="1"/>
    </xf>
    <xf numFmtId="3" fontId="23" fillId="6" borderId="12" xfId="0" applyNumberFormat="1" applyFont="1" applyFill="1" applyBorder="1" applyAlignment="1">
      <alignment horizontal="left" vertical="center" wrapText="1"/>
    </xf>
    <xf numFmtId="164" fontId="23" fillId="6" borderId="10" xfId="0" applyNumberFormat="1" applyFont="1" applyFill="1" applyBorder="1" applyAlignment="1">
      <alignment horizontal="center" vertical="center"/>
    </xf>
    <xf numFmtId="3" fontId="27" fillId="24" borderId="12" xfId="0" applyNumberFormat="1" applyFont="1" applyFill="1" applyBorder="1" applyAlignment="1">
      <alignment horizontal="left" vertical="center" wrapText="1"/>
    </xf>
    <xf numFmtId="3" fontId="23" fillId="24" borderId="12" xfId="0" applyNumberFormat="1" applyFont="1" applyFill="1" applyBorder="1" applyAlignment="1">
      <alignment horizontal="left" vertical="center" wrapText="1"/>
    </xf>
    <xf numFmtId="164" fontId="20" fillId="24" borderId="10" xfId="0" applyNumberFormat="1" applyFont="1" applyFill="1" applyBorder="1" applyAlignment="1">
      <alignment horizontal="center" vertical="center"/>
    </xf>
    <xf numFmtId="4" fontId="29" fillId="0" borderId="57" xfId="0" applyNumberFormat="1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49" fontId="23" fillId="23" borderId="12" xfId="0" applyNumberFormat="1" applyFont="1" applyFill="1" applyBorder="1" applyAlignment="1">
      <alignment horizontal="center" vertical="center" wrapText="1"/>
    </xf>
    <xf numFmtId="49" fontId="23" fillId="23" borderId="22" xfId="0" applyNumberFormat="1" applyFont="1" applyFill="1" applyBorder="1" applyAlignment="1">
      <alignment horizontal="left" vertical="center" wrapText="1"/>
    </xf>
    <xf numFmtId="49" fontId="23" fillId="23" borderId="23" xfId="0" applyNumberFormat="1" applyFont="1" applyFill="1" applyBorder="1" applyAlignment="1">
      <alignment horizontal="left" vertical="center" wrapText="1"/>
    </xf>
    <xf numFmtId="49" fontId="23" fillId="23" borderId="24" xfId="0" applyNumberFormat="1" applyFont="1" applyFill="1" applyBorder="1" applyAlignment="1">
      <alignment horizontal="left" vertical="center" wrapText="1"/>
    </xf>
    <xf numFmtId="4" fontId="26" fillId="23" borderId="12" xfId="0" applyNumberFormat="1" applyFont="1" applyFill="1" applyBorder="1" applyAlignment="1">
      <alignment horizontal="center" vertical="center"/>
    </xf>
    <xf numFmtId="49" fontId="23" fillId="23" borderId="22" xfId="0" applyNumberFormat="1" applyFont="1" applyFill="1" applyBorder="1" applyAlignment="1">
      <alignment horizontal="center" vertical="center" wrapText="1"/>
    </xf>
    <xf numFmtId="49" fontId="23" fillId="23" borderId="23" xfId="0" applyNumberFormat="1" applyFont="1" applyFill="1" applyBorder="1" applyAlignment="1">
      <alignment horizontal="center" vertical="center" wrapText="1"/>
    </xf>
    <xf numFmtId="49" fontId="23" fillId="23" borderId="24" xfId="0" applyNumberFormat="1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left" vertical="center" wrapText="1"/>
    </xf>
    <xf numFmtId="49" fontId="23" fillId="23" borderId="83" xfId="0" applyNumberFormat="1" applyFont="1" applyFill="1" applyBorder="1" applyAlignment="1">
      <alignment horizontal="left" vertical="center" wrapText="1"/>
    </xf>
    <xf numFmtId="49" fontId="23" fillId="23" borderId="12" xfId="0" applyNumberFormat="1" applyFont="1" applyFill="1" applyBorder="1" applyAlignment="1">
      <alignment horizontal="left" vertical="center" wrapText="1"/>
    </xf>
    <xf numFmtId="4" fontId="26" fillId="23" borderId="16" xfId="0" applyNumberFormat="1" applyFont="1" applyFill="1" applyBorder="1" applyAlignment="1">
      <alignment horizontal="center" vertical="center"/>
    </xf>
    <xf numFmtId="4" fontId="27" fillId="6" borderId="12" xfId="0" applyNumberFormat="1" applyFont="1" applyFill="1" applyBorder="1" applyAlignment="1">
      <alignment horizontal="left" vertical="center" wrapText="1"/>
    </xf>
    <xf numFmtId="4" fontId="23" fillId="6" borderId="12" xfId="0" applyNumberFormat="1" applyFont="1" applyFill="1" applyBorder="1" applyAlignment="1">
      <alignment horizontal="left" vertical="center" wrapText="1"/>
    </xf>
    <xf numFmtId="4" fontId="23" fillId="6" borderId="10" xfId="0" applyNumberFormat="1" applyFont="1" applyFill="1" applyBorder="1" applyAlignment="1">
      <alignment horizontal="center" vertical="center"/>
    </xf>
    <xf numFmtId="4" fontId="27" fillId="24" borderId="12" xfId="0" applyNumberFormat="1" applyFont="1" applyFill="1" applyBorder="1" applyAlignment="1">
      <alignment horizontal="left" vertical="center" wrapText="1"/>
    </xf>
    <xf numFmtId="4" fontId="23" fillId="24" borderId="12" xfId="0" applyNumberFormat="1" applyFont="1" applyFill="1" applyBorder="1" applyAlignment="1">
      <alignment horizontal="left" vertical="center" wrapText="1"/>
    </xf>
    <xf numFmtId="4" fontId="26" fillId="23" borderId="22" xfId="0" applyNumberFormat="1" applyFont="1" applyFill="1" applyBorder="1" applyAlignment="1">
      <alignment horizontal="center" vertical="center"/>
    </xf>
    <xf numFmtId="4" fontId="26" fillId="23" borderId="23" xfId="0" applyNumberFormat="1" applyFont="1" applyFill="1" applyBorder="1" applyAlignment="1">
      <alignment horizontal="center" vertical="center"/>
    </xf>
    <xf numFmtId="4" fontId="26" fillId="23" borderId="24" xfId="0" applyNumberFormat="1" applyFont="1" applyFill="1" applyBorder="1" applyAlignment="1">
      <alignment horizontal="center" vertical="center"/>
    </xf>
    <xf numFmtId="4" fontId="27" fillId="0" borderId="12" xfId="0" applyNumberFormat="1" applyFont="1" applyBorder="1" applyAlignment="1">
      <alignment horizontal="left" vertical="center" wrapText="1"/>
    </xf>
    <xf numFmtId="4" fontId="31" fillId="0" borderId="82" xfId="0" applyNumberFormat="1" applyFont="1" applyBorder="1" applyAlignment="1">
      <alignment horizontal="center" vertical="center"/>
    </xf>
    <xf numFmtId="4" fontId="30" fillId="23" borderId="82" xfId="0" applyNumberFormat="1" applyFont="1" applyFill="1" applyBorder="1" applyAlignment="1">
      <alignment horizontal="center" vertical="center"/>
    </xf>
    <xf numFmtId="49" fontId="27" fillId="0" borderId="12" xfId="0" applyNumberFormat="1" applyFont="1" applyBorder="1" applyAlignment="1">
      <alignment horizontal="center" vertical="center" wrapText="1"/>
    </xf>
    <xf numFmtId="49" fontId="27" fillId="0" borderId="12" xfId="0" applyNumberFormat="1" applyFont="1" applyBorder="1" applyAlignment="1">
      <alignment horizontal="left" vertical="center" wrapText="1"/>
    </xf>
    <xf numFmtId="49" fontId="31" fillId="0" borderId="82" xfId="0" applyNumberFormat="1" applyFont="1" applyBorder="1" applyAlignment="1">
      <alignment horizontal="center" vertical="center"/>
    </xf>
    <xf numFmtId="49" fontId="31" fillId="0" borderId="82" xfId="0" applyNumberFormat="1" applyFont="1" applyFill="1" applyBorder="1" applyAlignment="1">
      <alignment horizontal="center" vertical="center"/>
    </xf>
    <xf numFmtId="49" fontId="27" fillId="0" borderId="22" xfId="0" applyNumberFormat="1" applyFont="1" applyBorder="1" applyAlignment="1">
      <alignment horizontal="left" vertical="center" wrapText="1"/>
    </xf>
    <xf numFmtId="49" fontId="27" fillId="0" borderId="23" xfId="0" applyNumberFormat="1" applyFont="1" applyBorder="1" applyAlignment="1">
      <alignment horizontal="left" vertical="center" wrapText="1"/>
    </xf>
    <xf numFmtId="49" fontId="27" fillId="0" borderId="24" xfId="0" applyNumberFormat="1" applyFont="1" applyBorder="1" applyAlignment="1">
      <alignment horizontal="left" vertical="center" wrapText="1"/>
    </xf>
    <xf numFmtId="49" fontId="31" fillId="0" borderId="22" xfId="0" applyNumberFormat="1" applyFont="1" applyBorder="1" applyAlignment="1">
      <alignment horizontal="center" vertical="center"/>
    </xf>
    <xf numFmtId="49" fontId="31" fillId="0" borderId="23" xfId="0" applyNumberFormat="1" applyFont="1" applyBorder="1" applyAlignment="1">
      <alignment horizontal="center" vertical="center"/>
    </xf>
    <xf numFmtId="49" fontId="31" fillId="0" borderId="24" xfId="0" applyNumberFormat="1" applyFont="1" applyBorder="1" applyAlignment="1">
      <alignment horizontal="center" vertical="center"/>
    </xf>
    <xf numFmtId="2" fontId="31" fillId="0" borderId="82" xfId="0" applyNumberFormat="1" applyFont="1" applyFill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/>
    </xf>
    <xf numFmtId="49" fontId="22" fillId="6" borderId="11" xfId="0" applyNumberFormat="1" applyFont="1" applyFill="1" applyBorder="1" applyAlignment="1">
      <alignment horizontal="center" vertical="center"/>
    </xf>
    <xf numFmtId="49" fontId="23" fillId="6" borderId="12" xfId="0" applyNumberFormat="1" applyFont="1" applyFill="1" applyBorder="1" applyAlignment="1">
      <alignment horizontal="center" vertical="center" wrapText="1"/>
    </xf>
    <xf numFmtId="4" fontId="30" fillId="6" borderId="81" xfId="0" applyNumberFormat="1" applyFont="1" applyFill="1" applyBorder="1" applyAlignment="1">
      <alignment horizontal="center" vertical="center"/>
    </xf>
    <xf numFmtId="49" fontId="22" fillId="0" borderId="78" xfId="0" applyNumberFormat="1" applyFont="1" applyBorder="1" applyAlignment="1">
      <alignment horizontal="center" vertical="center"/>
    </xf>
    <xf numFmtId="49" fontId="23" fillId="0" borderId="22" xfId="0" applyNumberFormat="1" applyFont="1" applyBorder="1" applyAlignment="1">
      <alignment horizontal="left" vertical="center" wrapText="1"/>
    </xf>
    <xf numFmtId="49" fontId="30" fillId="0" borderId="82" xfId="0" applyNumberFormat="1" applyFont="1" applyBorder="1" applyAlignment="1">
      <alignment horizontal="center" vertical="center"/>
    </xf>
    <xf numFmtId="49" fontId="28" fillId="0" borderId="11" xfId="0" applyNumberFormat="1" applyFont="1" applyBorder="1" applyAlignment="1">
      <alignment horizontal="center" vertical="center"/>
    </xf>
    <xf numFmtId="49" fontId="29" fillId="0" borderId="12" xfId="0" applyNumberFormat="1" applyFont="1" applyBorder="1" applyAlignment="1">
      <alignment horizontal="left" vertical="center" wrapText="1"/>
    </xf>
    <xf numFmtId="4" fontId="34" fillId="0" borderId="81" xfId="0" applyNumberFormat="1" applyFont="1" applyBorder="1" applyAlignment="1">
      <alignment horizontal="center" vertical="center"/>
    </xf>
    <xf numFmtId="4" fontId="34" fillId="0" borderId="81" xfId="0" applyNumberFormat="1" applyFont="1" applyBorder="1" applyAlignment="1">
      <alignment horizontal="center" vertical="center" wrapText="1"/>
    </xf>
    <xf numFmtId="49" fontId="20" fillId="0" borderId="81" xfId="0" applyNumberFormat="1" applyFont="1" applyBorder="1" applyAlignment="1">
      <alignment horizontal="center" vertical="center"/>
    </xf>
    <xf numFmtId="49" fontId="22" fillId="6" borderId="78" xfId="0" applyNumberFormat="1" applyFont="1" applyFill="1" applyBorder="1" applyAlignment="1">
      <alignment horizontal="center" vertical="center"/>
    </xf>
    <xf numFmtId="49" fontId="22" fillId="6" borderId="79" xfId="0" applyNumberFormat="1" applyFont="1" applyFill="1" applyBorder="1" applyAlignment="1">
      <alignment horizontal="center" vertical="center"/>
    </xf>
    <xf numFmtId="49" fontId="22" fillId="6" borderId="80" xfId="0" applyNumberFormat="1" applyFont="1" applyFill="1" applyBorder="1" applyAlignment="1">
      <alignment horizontal="center" vertical="center"/>
    </xf>
    <xf numFmtId="49" fontId="23" fillId="6" borderId="22" xfId="0" applyNumberFormat="1" applyFont="1" applyFill="1" applyBorder="1" applyAlignment="1">
      <alignment horizontal="center" vertical="center" wrapText="1"/>
    </xf>
    <xf numFmtId="49" fontId="23" fillId="6" borderId="23" xfId="0" applyNumberFormat="1" applyFont="1" applyFill="1" applyBorder="1" applyAlignment="1">
      <alignment horizontal="center" vertical="center" wrapText="1"/>
    </xf>
    <xf numFmtId="49" fontId="23" fillId="6" borderId="24" xfId="0" applyNumberFormat="1" applyFont="1" applyFill="1" applyBorder="1" applyAlignment="1">
      <alignment horizontal="center" vertical="center" wrapText="1"/>
    </xf>
    <xf numFmtId="4" fontId="30" fillId="6" borderId="22" xfId="0" applyNumberFormat="1" applyFont="1" applyFill="1" applyBorder="1" applyAlignment="1">
      <alignment horizontal="center" vertical="center"/>
    </xf>
    <xf numFmtId="4" fontId="30" fillId="6" borderId="23" xfId="0" applyNumberFormat="1" applyFont="1" applyFill="1" applyBorder="1" applyAlignment="1">
      <alignment horizontal="center" vertical="center"/>
    </xf>
    <xf numFmtId="4" fontId="30" fillId="6" borderId="24" xfId="0" applyNumberFormat="1" applyFont="1" applyFill="1" applyBorder="1" applyAlignment="1">
      <alignment horizontal="center" vertical="center"/>
    </xf>
    <xf numFmtId="49" fontId="29" fillId="0" borderId="22" xfId="0" applyNumberFormat="1" applyFont="1" applyBorder="1" applyAlignment="1">
      <alignment horizontal="left" vertical="center" wrapText="1"/>
    </xf>
    <xf numFmtId="49" fontId="29" fillId="0" borderId="23" xfId="0" applyNumberFormat="1" applyFont="1" applyBorder="1" applyAlignment="1">
      <alignment horizontal="left" vertical="center" wrapText="1"/>
    </xf>
    <xf numFmtId="49" fontId="29" fillId="0" borderId="24" xfId="0" applyNumberFormat="1" applyFont="1" applyBorder="1" applyAlignment="1">
      <alignment horizontal="left" vertical="center" wrapText="1"/>
    </xf>
    <xf numFmtId="0" fontId="24" fillId="0" borderId="20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7" fillId="0" borderId="36" xfId="0" applyFont="1" applyBorder="1" applyAlignment="1">
      <alignment horizontal="center" vertical="center" wrapText="1"/>
    </xf>
    <xf numFmtId="49" fontId="29" fillId="0" borderId="12" xfId="0" applyNumberFormat="1" applyFont="1" applyBorder="1" applyAlignment="1">
      <alignment horizontal="left" vertical="center"/>
    </xf>
    <xf numFmtId="4" fontId="29" fillId="0" borderId="12" xfId="0" applyNumberFormat="1" applyFont="1" applyFill="1" applyBorder="1" applyAlignment="1">
      <alignment horizontal="center" vertical="center"/>
    </xf>
    <xf numFmtId="4" fontId="29" fillId="0" borderId="37" xfId="0" applyNumberFormat="1" applyFont="1" applyBorder="1" applyAlignment="1">
      <alignment horizontal="center" vertical="center" wrapText="1"/>
    </xf>
    <xf numFmtId="4" fontId="29" fillId="0" borderId="31" xfId="0" applyNumberFormat="1" applyFont="1" applyBorder="1" applyAlignment="1">
      <alignment horizontal="center" vertical="center" wrapText="1"/>
    </xf>
    <xf numFmtId="0" fontId="23" fillId="27" borderId="10" xfId="0" applyFont="1" applyFill="1" applyBorder="1" applyAlignment="1">
      <alignment horizontal="center" vertical="center" wrapText="1"/>
    </xf>
    <xf numFmtId="2" fontId="20" fillId="0" borderId="10" xfId="0" applyNumberFormat="1" applyFont="1" applyBorder="1" applyAlignment="1">
      <alignment horizontal="center" vertical="center" wrapText="1"/>
    </xf>
    <xf numFmtId="2" fontId="20" fillId="0" borderId="20" xfId="0" applyNumberFormat="1" applyFont="1" applyBorder="1" applyAlignment="1">
      <alignment horizontal="center" vertical="center" wrapText="1"/>
    </xf>
    <xf numFmtId="4" fontId="29" fillId="0" borderId="16" xfId="0" applyNumberFormat="1" applyFont="1" applyFill="1" applyBorder="1" applyAlignment="1">
      <alignment horizontal="center" vertical="center"/>
    </xf>
    <xf numFmtId="4" fontId="26" fillId="23" borderId="84" xfId="0" applyNumberFormat="1" applyFont="1" applyFill="1" applyBorder="1" applyAlignment="1">
      <alignment horizontal="center" vertical="center"/>
    </xf>
    <xf numFmtId="4" fontId="26" fillId="23" borderId="85" xfId="0" applyNumberFormat="1" applyFont="1" applyFill="1" applyBorder="1" applyAlignment="1">
      <alignment horizontal="center" vertical="center"/>
    </xf>
    <xf numFmtId="4" fontId="26" fillId="23" borderId="86" xfId="0" applyNumberFormat="1" applyFont="1" applyFill="1" applyBorder="1" applyAlignment="1">
      <alignment horizontal="center" vertical="center"/>
    </xf>
    <xf numFmtId="4" fontId="26" fillId="23" borderId="87" xfId="0" applyNumberFormat="1" applyFont="1" applyFill="1" applyBorder="1" applyAlignment="1">
      <alignment horizontal="center" vertical="center"/>
    </xf>
    <xf numFmtId="4" fontId="26" fillId="23" borderId="45" xfId="0" applyNumberFormat="1" applyFont="1" applyFill="1" applyBorder="1" applyAlignment="1">
      <alignment horizontal="center" vertical="center"/>
    </xf>
    <xf numFmtId="4" fontId="23" fillId="0" borderId="57" xfId="0" applyNumberFormat="1" applyFont="1" applyFill="1" applyBorder="1" applyAlignment="1">
      <alignment horizontal="center" vertical="center" wrapText="1"/>
    </xf>
    <xf numFmtId="4" fontId="23" fillId="0" borderId="37" xfId="0" applyNumberFormat="1" applyFont="1" applyFill="1" applyBorder="1" applyAlignment="1">
      <alignment horizontal="center" vertical="center" wrapText="1"/>
    </xf>
    <xf numFmtId="4" fontId="23" fillId="0" borderId="31" xfId="0" applyNumberFormat="1" applyFont="1" applyFill="1" applyBorder="1" applyAlignment="1">
      <alignment horizontal="center" vertical="center" wrapText="1"/>
    </xf>
    <xf numFmtId="49" fontId="23" fillId="32" borderId="12" xfId="0" applyNumberFormat="1" applyFont="1" applyFill="1" applyBorder="1" applyAlignment="1">
      <alignment horizontal="center" vertical="center" wrapText="1"/>
    </xf>
    <xf numFmtId="49" fontId="23" fillId="32" borderId="22" xfId="0" applyNumberFormat="1" applyFont="1" applyFill="1" applyBorder="1" applyAlignment="1">
      <alignment horizontal="left" vertical="center" wrapText="1"/>
    </xf>
    <xf numFmtId="49" fontId="23" fillId="32" borderId="23" xfId="0" applyNumberFormat="1" applyFont="1" applyFill="1" applyBorder="1" applyAlignment="1">
      <alignment horizontal="left" vertical="center" wrapText="1"/>
    </xf>
    <xf numFmtId="49" fontId="23" fillId="32" borderId="24" xfId="0" applyNumberFormat="1" applyFont="1" applyFill="1" applyBorder="1" applyAlignment="1">
      <alignment horizontal="left" vertical="center" wrapText="1"/>
    </xf>
    <xf numFmtId="4" fontId="26" fillId="29" borderId="12" xfId="0" applyNumberFormat="1" applyFont="1" applyFill="1" applyBorder="1" applyAlignment="1">
      <alignment horizontal="center" vertical="center"/>
    </xf>
    <xf numFmtId="49" fontId="23" fillId="39" borderId="12" xfId="0" applyNumberFormat="1" applyFont="1" applyFill="1" applyBorder="1" applyAlignment="1">
      <alignment horizontal="center" vertical="center" wrapText="1"/>
    </xf>
    <xf numFmtId="49" fontId="23" fillId="39" borderId="12" xfId="0" applyNumberFormat="1" applyFont="1" applyFill="1" applyBorder="1" applyAlignment="1">
      <alignment horizontal="left" vertical="center" wrapText="1"/>
    </xf>
    <xf numFmtId="4" fontId="29" fillId="30" borderId="16" xfId="0" applyNumberFormat="1" applyFont="1" applyFill="1" applyBorder="1" applyAlignment="1">
      <alignment horizontal="center" vertical="center"/>
    </xf>
    <xf numFmtId="49" fontId="23" fillId="32" borderId="22" xfId="0" applyNumberFormat="1" applyFont="1" applyFill="1" applyBorder="1" applyAlignment="1">
      <alignment horizontal="center" vertical="center" wrapText="1"/>
    </xf>
    <xf numFmtId="49" fontId="23" fillId="32" borderId="23" xfId="0" applyNumberFormat="1" applyFont="1" applyFill="1" applyBorder="1" applyAlignment="1">
      <alignment horizontal="center" vertical="center" wrapText="1"/>
    </xf>
    <xf numFmtId="49" fontId="23" fillId="32" borderId="24" xfId="0" applyNumberFormat="1" applyFont="1" applyFill="1" applyBorder="1" applyAlignment="1">
      <alignment horizontal="center" vertical="center" wrapText="1"/>
    </xf>
    <xf numFmtId="4" fontId="26" fillId="32" borderId="12" xfId="0" applyNumberFormat="1" applyFont="1" applyFill="1" applyBorder="1" applyAlignment="1">
      <alignment horizontal="center" vertical="center"/>
    </xf>
    <xf numFmtId="4" fontId="26" fillId="32" borderId="22" xfId="0" applyNumberFormat="1" applyFont="1" applyFill="1" applyBorder="1" applyAlignment="1">
      <alignment horizontal="center" vertical="center"/>
    </xf>
    <xf numFmtId="4" fontId="26" fillId="32" borderId="23" xfId="0" applyNumberFormat="1" applyFont="1" applyFill="1" applyBorder="1" applyAlignment="1">
      <alignment horizontal="center" vertical="center"/>
    </xf>
    <xf numFmtId="4" fontId="26" fillId="32" borderId="24" xfId="0" applyNumberFormat="1" applyFont="1" applyFill="1" applyBorder="1" applyAlignment="1">
      <alignment horizontal="center" vertical="center"/>
    </xf>
    <xf numFmtId="49" fontId="23" fillId="33" borderId="22" xfId="0" applyNumberFormat="1" applyFont="1" applyFill="1" applyBorder="1" applyAlignment="1">
      <alignment horizontal="center" vertical="center" wrapText="1"/>
    </xf>
    <xf numFmtId="49" fontId="23" fillId="33" borderId="23" xfId="0" applyNumberFormat="1" applyFont="1" applyFill="1" applyBorder="1" applyAlignment="1">
      <alignment horizontal="center" vertical="center" wrapText="1"/>
    </xf>
    <xf numFmtId="49" fontId="23" fillId="33" borderId="24" xfId="0" applyNumberFormat="1" applyFont="1" applyFill="1" applyBorder="1" applyAlignment="1">
      <alignment horizontal="center" vertical="center" wrapText="1"/>
    </xf>
    <xf numFmtId="49" fontId="23" fillId="33" borderId="22" xfId="0" applyNumberFormat="1" applyFont="1" applyFill="1" applyBorder="1" applyAlignment="1">
      <alignment horizontal="left" vertical="center" wrapText="1"/>
    </xf>
    <xf numFmtId="49" fontId="23" fillId="33" borderId="23" xfId="0" applyNumberFormat="1" applyFont="1" applyFill="1" applyBorder="1" applyAlignment="1">
      <alignment horizontal="left" vertical="center" wrapText="1"/>
    </xf>
    <xf numFmtId="49" fontId="23" fillId="33" borderId="24" xfId="0" applyNumberFormat="1" applyFont="1" applyFill="1" applyBorder="1" applyAlignment="1">
      <alignment horizontal="left" vertical="center" wrapText="1"/>
    </xf>
    <xf numFmtId="0" fontId="24" fillId="35" borderId="20" xfId="0" applyFont="1" applyFill="1" applyBorder="1" applyAlignment="1">
      <alignment horizontal="center" vertical="center"/>
    </xf>
    <xf numFmtId="0" fontId="24" fillId="35" borderId="18" xfId="0" applyFont="1" applyFill="1" applyBorder="1" applyAlignment="1">
      <alignment horizontal="center" vertical="center"/>
    </xf>
    <xf numFmtId="0" fontId="20" fillId="35" borderId="0" xfId="0" applyFont="1" applyFill="1" applyBorder="1" applyAlignment="1">
      <alignment horizontal="center" vertical="center"/>
    </xf>
    <xf numFmtId="0" fontId="20" fillId="35" borderId="0" xfId="0" applyFont="1" applyFill="1" applyBorder="1" applyAlignment="1">
      <alignment horizontal="center" vertical="center" wrapText="1"/>
    </xf>
    <xf numFmtId="0" fontId="22" fillId="35" borderId="20" xfId="0" applyFont="1" applyFill="1" applyBorder="1" applyAlignment="1">
      <alignment horizontal="center" vertical="center" wrapText="1"/>
    </xf>
    <xf numFmtId="0" fontId="22" fillId="35" borderId="18" xfId="0" applyFont="1" applyFill="1" applyBorder="1" applyAlignment="1">
      <alignment horizontal="center" vertical="center" wrapText="1"/>
    </xf>
    <xf numFmtId="0" fontId="23" fillId="35" borderId="20" xfId="0" applyFont="1" applyFill="1" applyBorder="1" applyAlignment="1">
      <alignment horizontal="center" vertical="center" wrapText="1"/>
    </xf>
    <xf numFmtId="0" fontId="23" fillId="35" borderId="18" xfId="0" applyFont="1" applyFill="1" applyBorder="1" applyAlignment="1">
      <alignment horizontal="center" vertical="center" wrapText="1"/>
    </xf>
    <xf numFmtId="0" fontId="24" fillId="35" borderId="28" xfId="0" applyFont="1" applyFill="1" applyBorder="1" applyAlignment="1">
      <alignment horizontal="center" vertical="center"/>
    </xf>
    <xf numFmtId="0" fontId="24" fillId="35" borderId="88" xfId="0" applyFont="1" applyFill="1" applyBorder="1" applyAlignment="1">
      <alignment horizontal="center" vertical="center"/>
    </xf>
    <xf numFmtId="0" fontId="24" fillId="35" borderId="51" xfId="0" applyFont="1" applyFill="1" applyBorder="1" applyAlignment="1">
      <alignment horizontal="center" vertical="center"/>
    </xf>
    <xf numFmtId="0" fontId="27" fillId="35" borderId="89" xfId="0" applyFont="1" applyFill="1" applyBorder="1" applyAlignment="1">
      <alignment horizontal="center" vertical="center" wrapText="1"/>
    </xf>
    <xf numFmtId="0" fontId="27" fillId="35" borderId="77" xfId="0" applyFont="1" applyFill="1" applyBorder="1" applyAlignment="1">
      <alignment horizontal="center" vertical="center" wrapText="1"/>
    </xf>
    <xf numFmtId="49" fontId="23" fillId="36" borderId="22" xfId="0" applyNumberFormat="1" applyFont="1" applyFill="1" applyBorder="1" applyAlignment="1">
      <alignment horizontal="center" vertical="center" wrapText="1"/>
    </xf>
    <xf numFmtId="49" fontId="23" fillId="36" borderId="23" xfId="0" applyNumberFormat="1" applyFont="1" applyFill="1" applyBorder="1" applyAlignment="1">
      <alignment horizontal="center" vertical="center" wrapText="1"/>
    </xf>
    <xf numFmtId="49" fontId="23" fillId="36" borderId="24" xfId="0" applyNumberFormat="1" applyFont="1" applyFill="1" applyBorder="1" applyAlignment="1">
      <alignment horizontal="center" vertical="center" wrapText="1"/>
    </xf>
    <xf numFmtId="49" fontId="23" fillId="36" borderId="22" xfId="0" applyNumberFormat="1" applyFont="1" applyFill="1" applyBorder="1" applyAlignment="1">
      <alignment horizontal="left" vertical="center" wrapText="1"/>
    </xf>
    <xf numFmtId="49" fontId="23" fillId="36" borderId="23" xfId="0" applyNumberFormat="1" applyFont="1" applyFill="1" applyBorder="1" applyAlignment="1">
      <alignment horizontal="left" vertical="center" wrapText="1"/>
    </xf>
    <xf numFmtId="49" fontId="23" fillId="36" borderId="24" xfId="0" applyNumberFormat="1" applyFont="1" applyFill="1" applyBorder="1" applyAlignment="1">
      <alignment horizontal="left" vertical="center" wrapText="1"/>
    </xf>
    <xf numFmtId="4" fontId="26" fillId="36" borderId="22" xfId="0" applyNumberFormat="1" applyFont="1" applyFill="1" applyBorder="1" applyAlignment="1">
      <alignment horizontal="center" vertical="center"/>
    </xf>
    <xf numFmtId="4" fontId="26" fillId="36" borderId="23" xfId="0" applyNumberFormat="1" applyFont="1" applyFill="1" applyBorder="1" applyAlignment="1">
      <alignment horizontal="center" vertical="center"/>
    </xf>
    <xf numFmtId="4" fontId="26" fillId="36" borderId="24" xfId="0" applyNumberFormat="1" applyFont="1" applyFill="1" applyBorder="1" applyAlignment="1">
      <alignment horizontal="center" vertical="center"/>
    </xf>
    <xf numFmtId="49" fontId="28" fillId="35" borderId="78" xfId="0" applyNumberFormat="1" applyFont="1" applyFill="1" applyBorder="1" applyAlignment="1">
      <alignment horizontal="center" vertical="center"/>
    </xf>
    <xf numFmtId="49" fontId="28" fillId="35" borderId="79" xfId="0" applyNumberFormat="1" applyFont="1" applyFill="1" applyBorder="1" applyAlignment="1">
      <alignment horizontal="center" vertical="center"/>
    </xf>
    <xf numFmtId="49" fontId="28" fillId="35" borderId="80" xfId="0" applyNumberFormat="1" applyFont="1" applyFill="1" applyBorder="1" applyAlignment="1">
      <alignment horizontal="center" vertical="center"/>
    </xf>
    <xf numFmtId="49" fontId="29" fillId="35" borderId="22" xfId="0" applyNumberFormat="1" applyFont="1" applyFill="1" applyBorder="1" applyAlignment="1">
      <alignment horizontal="left" vertical="center"/>
    </xf>
    <xf numFmtId="49" fontId="29" fillId="35" borderId="23" xfId="0" applyNumberFormat="1" applyFont="1" applyFill="1" applyBorder="1" applyAlignment="1">
      <alignment horizontal="left" vertical="center"/>
    </xf>
    <xf numFmtId="49" fontId="29" fillId="35" borderId="24" xfId="0" applyNumberFormat="1" applyFont="1" applyFill="1" applyBorder="1" applyAlignment="1">
      <alignment horizontal="left" vertical="center"/>
    </xf>
    <xf numFmtId="4" fontId="29" fillId="35" borderId="22" xfId="0" applyNumberFormat="1" applyFont="1" applyFill="1" applyBorder="1" applyAlignment="1">
      <alignment horizontal="center" vertical="center"/>
    </xf>
    <xf numFmtId="4" fontId="29" fillId="35" borderId="23" xfId="0" applyNumberFormat="1" applyFont="1" applyFill="1" applyBorder="1" applyAlignment="1">
      <alignment horizontal="center" vertical="center"/>
    </xf>
    <xf numFmtId="4" fontId="29" fillId="35" borderId="24" xfId="0" applyNumberFormat="1" applyFont="1" applyFill="1" applyBorder="1" applyAlignment="1">
      <alignment horizontal="center" vertical="center"/>
    </xf>
    <xf numFmtId="4" fontId="29" fillId="35" borderId="72" xfId="0" applyNumberFormat="1" applyFont="1" applyFill="1" applyBorder="1" applyAlignment="1">
      <alignment horizontal="center" vertical="center" wrapText="1"/>
    </xf>
    <xf numFmtId="4" fontId="29" fillId="35" borderId="71" xfId="0" applyNumberFormat="1" applyFont="1" applyFill="1" applyBorder="1" applyAlignment="1">
      <alignment horizontal="center" vertical="center" wrapText="1"/>
    </xf>
    <xf numFmtId="4" fontId="29" fillId="35" borderId="70" xfId="0" applyNumberFormat="1" applyFont="1" applyFill="1" applyBorder="1" applyAlignment="1">
      <alignment horizontal="center" vertical="center" wrapText="1"/>
    </xf>
    <xf numFmtId="49" fontId="29" fillId="35" borderId="22" xfId="0" applyNumberFormat="1" applyFont="1" applyFill="1" applyBorder="1" applyAlignment="1">
      <alignment horizontal="left" vertical="center" wrapText="1"/>
    </xf>
    <xf numFmtId="49" fontId="29" fillId="35" borderId="23" xfId="0" applyNumberFormat="1" applyFont="1" applyFill="1" applyBorder="1" applyAlignment="1">
      <alignment horizontal="left" vertical="center" wrapText="1"/>
    </xf>
    <xf numFmtId="49" fontId="29" fillId="35" borderId="24" xfId="0" applyNumberFormat="1" applyFont="1" applyFill="1" applyBorder="1" applyAlignment="1">
      <alignment horizontal="left" vertical="center" wrapText="1"/>
    </xf>
    <xf numFmtId="49" fontId="23" fillId="35" borderId="22" xfId="0" applyNumberFormat="1" applyFont="1" applyFill="1" applyBorder="1" applyAlignment="1">
      <alignment horizontal="center" vertical="center" wrapText="1"/>
    </xf>
    <xf numFmtId="49" fontId="23" fillId="35" borderId="23" xfId="0" applyNumberFormat="1" applyFont="1" applyFill="1" applyBorder="1" applyAlignment="1">
      <alignment horizontal="center" vertical="center" wrapText="1"/>
    </xf>
    <xf numFmtId="49" fontId="23" fillId="35" borderId="24" xfId="0" applyNumberFormat="1" applyFont="1" applyFill="1" applyBorder="1" applyAlignment="1">
      <alignment horizontal="center" vertical="center" wrapText="1"/>
    </xf>
    <xf numFmtId="49" fontId="23" fillId="35" borderId="22" xfId="0" applyNumberFormat="1" applyFont="1" applyFill="1" applyBorder="1" applyAlignment="1">
      <alignment horizontal="left" vertical="center" wrapText="1"/>
    </xf>
    <xf numFmtId="49" fontId="23" fillId="35" borderId="23" xfId="0" applyNumberFormat="1" applyFont="1" applyFill="1" applyBorder="1" applyAlignment="1">
      <alignment horizontal="left" vertical="center" wrapText="1"/>
    </xf>
    <xf numFmtId="49" fontId="23" fillId="35" borderId="24" xfId="0" applyNumberFormat="1" applyFont="1" applyFill="1" applyBorder="1" applyAlignment="1">
      <alignment horizontal="left" vertical="center" wrapText="1"/>
    </xf>
    <xf numFmtId="4" fontId="23" fillId="35" borderId="72" xfId="0" applyNumberFormat="1" applyFont="1" applyFill="1" applyBorder="1" applyAlignment="1">
      <alignment horizontal="center" vertical="center" wrapText="1"/>
    </xf>
    <xf numFmtId="4" fontId="23" fillId="35" borderId="71" xfId="0" applyNumberFormat="1" applyFont="1" applyFill="1" applyBorder="1" applyAlignment="1">
      <alignment horizontal="center" vertical="center" wrapText="1"/>
    </xf>
    <xf numFmtId="4" fontId="23" fillId="35" borderId="70" xfId="0" applyNumberFormat="1" applyFont="1" applyFill="1" applyBorder="1" applyAlignment="1">
      <alignment horizontal="center" vertical="center" wrapText="1"/>
    </xf>
    <xf numFmtId="49" fontId="23" fillId="36" borderId="90" xfId="0" applyNumberFormat="1" applyFont="1" applyFill="1" applyBorder="1" applyAlignment="1">
      <alignment horizontal="left" vertical="center" wrapText="1"/>
    </xf>
    <xf numFmtId="49" fontId="23" fillId="36" borderId="91" xfId="0" applyNumberFormat="1" applyFont="1" applyFill="1" applyBorder="1" applyAlignment="1">
      <alignment horizontal="left" vertical="center" wrapText="1"/>
    </xf>
    <xf numFmtId="49" fontId="23" fillId="36" borderId="92" xfId="0" applyNumberFormat="1" applyFont="1" applyFill="1" applyBorder="1" applyAlignment="1">
      <alignment horizontal="left" vertical="center" wrapText="1"/>
    </xf>
    <xf numFmtId="4" fontId="26" fillId="36" borderId="84" xfId="0" applyNumberFormat="1" applyFont="1" applyFill="1" applyBorder="1" applyAlignment="1">
      <alignment horizontal="center" vertical="center"/>
    </xf>
    <xf numFmtId="4" fontId="26" fillId="36" borderId="85" xfId="0" applyNumberFormat="1" applyFont="1" applyFill="1" applyBorder="1" applyAlignment="1">
      <alignment horizontal="center" vertical="center"/>
    </xf>
    <xf numFmtId="4" fontId="26" fillId="36" borderId="86" xfId="0" applyNumberFormat="1" applyFont="1" applyFill="1" applyBorder="1" applyAlignment="1">
      <alignment horizontal="center" vertical="center"/>
    </xf>
    <xf numFmtId="4" fontId="26" fillId="36" borderId="93" xfId="0" applyNumberFormat="1" applyFont="1" applyFill="1" applyBorder="1" applyAlignment="1">
      <alignment horizontal="center" vertical="center"/>
    </xf>
    <xf numFmtId="4" fontId="26" fillId="36" borderId="94" xfId="0" applyNumberFormat="1" applyFont="1" applyFill="1" applyBorder="1" applyAlignment="1">
      <alignment horizontal="center" vertical="center"/>
    </xf>
    <xf numFmtId="4" fontId="26" fillId="35" borderId="22" xfId="0" applyNumberFormat="1" applyFont="1" applyFill="1" applyBorder="1" applyAlignment="1">
      <alignment horizontal="center" vertical="center"/>
    </xf>
    <xf numFmtId="4" fontId="26" fillId="35" borderId="23" xfId="0" applyNumberFormat="1" applyFont="1" applyFill="1" applyBorder="1" applyAlignment="1">
      <alignment horizontal="center" vertical="center"/>
    </xf>
    <xf numFmtId="4" fontId="26" fillId="35" borderId="24" xfId="0" applyNumberFormat="1" applyFont="1" applyFill="1" applyBorder="1" applyAlignment="1">
      <alignment horizontal="center" vertical="center"/>
    </xf>
    <xf numFmtId="49" fontId="22" fillId="37" borderId="78" xfId="0" applyNumberFormat="1" applyFont="1" applyFill="1" applyBorder="1" applyAlignment="1">
      <alignment horizontal="center" vertical="center"/>
    </xf>
    <xf numFmtId="49" fontId="22" fillId="37" borderId="79" xfId="0" applyNumberFormat="1" applyFont="1" applyFill="1" applyBorder="1" applyAlignment="1">
      <alignment horizontal="center" vertical="center"/>
    </xf>
    <xf numFmtId="49" fontId="22" fillId="37" borderId="80" xfId="0" applyNumberFormat="1" applyFont="1" applyFill="1" applyBorder="1" applyAlignment="1">
      <alignment horizontal="center" vertical="center"/>
    </xf>
    <xf numFmtId="49" fontId="23" fillId="37" borderId="22" xfId="0" applyNumberFormat="1" applyFont="1" applyFill="1" applyBorder="1" applyAlignment="1">
      <alignment horizontal="center" vertical="center" wrapText="1"/>
    </xf>
    <xf numFmtId="49" fontId="23" fillId="37" borderId="23" xfId="0" applyNumberFormat="1" applyFont="1" applyFill="1" applyBorder="1" applyAlignment="1">
      <alignment horizontal="center" vertical="center" wrapText="1"/>
    </xf>
    <xf numFmtId="49" fontId="23" fillId="37" borderId="24" xfId="0" applyNumberFormat="1" applyFont="1" applyFill="1" applyBorder="1" applyAlignment="1">
      <alignment horizontal="center" vertical="center" wrapText="1"/>
    </xf>
    <xf numFmtId="4" fontId="30" fillId="37" borderId="22" xfId="0" applyNumberFormat="1" applyFont="1" applyFill="1" applyBorder="1" applyAlignment="1">
      <alignment horizontal="center" vertical="center"/>
    </xf>
    <xf numFmtId="4" fontId="30" fillId="37" borderId="23" xfId="0" applyNumberFormat="1" applyFont="1" applyFill="1" applyBorder="1" applyAlignment="1">
      <alignment horizontal="center" vertical="center"/>
    </xf>
    <xf numFmtId="4" fontId="30" fillId="37" borderId="24" xfId="0" applyNumberFormat="1" applyFont="1" applyFill="1" applyBorder="1" applyAlignment="1">
      <alignment horizontal="center" vertical="center"/>
    </xf>
    <xf numFmtId="49" fontId="20" fillId="35" borderId="81" xfId="0" applyNumberFormat="1" applyFont="1" applyFill="1" applyBorder="1" applyAlignment="1">
      <alignment horizontal="center" vertical="center"/>
    </xf>
    <xf numFmtId="4" fontId="34" fillId="35" borderId="22" xfId="0" applyNumberFormat="1" applyFont="1" applyFill="1" applyBorder="1" applyAlignment="1">
      <alignment horizontal="center" vertical="center"/>
    </xf>
    <xf numFmtId="4" fontId="34" fillId="35" borderId="23" xfId="0" applyNumberFormat="1" applyFont="1" applyFill="1" applyBorder="1" applyAlignment="1">
      <alignment horizontal="center" vertical="center"/>
    </xf>
    <xf numFmtId="4" fontId="34" fillId="35" borderId="24" xfId="0" applyNumberFormat="1" applyFont="1" applyFill="1" applyBorder="1" applyAlignment="1">
      <alignment horizontal="center" vertical="center"/>
    </xf>
    <xf numFmtId="4" fontId="34" fillId="35" borderId="22" xfId="0" applyNumberFormat="1" applyFont="1" applyFill="1" applyBorder="1" applyAlignment="1">
      <alignment horizontal="center" vertical="center" wrapText="1"/>
    </xf>
    <xf numFmtId="4" fontId="34" fillId="35" borderId="23" xfId="0" applyNumberFormat="1" applyFont="1" applyFill="1" applyBorder="1" applyAlignment="1">
      <alignment horizontal="center" vertical="center" wrapText="1"/>
    </xf>
    <xf numFmtId="4" fontId="34" fillId="35" borderId="24" xfId="0" applyNumberFormat="1" applyFont="1" applyFill="1" applyBorder="1" applyAlignment="1">
      <alignment horizontal="center" vertical="center" wrapText="1"/>
    </xf>
    <xf numFmtId="49" fontId="22" fillId="35" borderId="78" xfId="0" applyNumberFormat="1" applyFont="1" applyFill="1" applyBorder="1" applyAlignment="1">
      <alignment horizontal="center" vertical="center"/>
    </xf>
    <xf numFmtId="49" fontId="22" fillId="35" borderId="79" xfId="0" applyNumberFormat="1" applyFont="1" applyFill="1" applyBorder="1" applyAlignment="1">
      <alignment horizontal="center" vertical="center"/>
    </xf>
    <xf numFmtId="49" fontId="22" fillId="35" borderId="95" xfId="0" applyNumberFormat="1" applyFont="1" applyFill="1" applyBorder="1" applyAlignment="1">
      <alignment horizontal="center" vertical="center"/>
    </xf>
    <xf numFmtId="49" fontId="23" fillId="35" borderId="18" xfId="0" applyNumberFormat="1" applyFont="1" applyFill="1" applyBorder="1" applyAlignment="1">
      <alignment horizontal="left" vertical="center" wrapText="1"/>
    </xf>
    <xf numFmtId="49" fontId="30" fillId="35" borderId="22" xfId="0" applyNumberFormat="1" applyFont="1" applyFill="1" applyBorder="1" applyAlignment="1">
      <alignment horizontal="center" vertical="center"/>
    </xf>
    <xf numFmtId="49" fontId="30" fillId="35" borderId="23" xfId="0" applyNumberFormat="1" applyFont="1" applyFill="1" applyBorder="1" applyAlignment="1">
      <alignment horizontal="center" vertical="center"/>
    </xf>
    <xf numFmtId="49" fontId="30" fillId="35" borderId="18" xfId="0" applyNumberFormat="1" applyFont="1" applyFill="1" applyBorder="1" applyAlignment="1">
      <alignment horizontal="center" vertical="center"/>
    </xf>
    <xf numFmtId="49" fontId="20" fillId="35" borderId="41" xfId="0" applyNumberFormat="1" applyFont="1" applyFill="1" applyBorder="1" applyAlignment="1">
      <alignment horizontal="center" vertical="center"/>
    </xf>
    <xf numFmtId="49" fontId="20" fillId="35" borderId="96" xfId="0" applyNumberFormat="1" applyFont="1" applyFill="1" applyBorder="1" applyAlignment="1">
      <alignment horizontal="center" vertical="center"/>
    </xf>
    <xf numFmtId="49" fontId="20" fillId="35" borderId="52" xfId="0" applyNumberFormat="1" applyFont="1" applyFill="1" applyBorder="1" applyAlignment="1">
      <alignment horizontal="center" vertical="center"/>
    </xf>
    <xf numFmtId="4" fontId="30" fillId="36" borderId="22" xfId="0" applyNumberFormat="1" applyFont="1" applyFill="1" applyBorder="1" applyAlignment="1">
      <alignment horizontal="center" vertical="center"/>
    </xf>
    <xf numFmtId="4" fontId="30" fillId="36" borderId="23" xfId="0" applyNumberFormat="1" applyFont="1" applyFill="1" applyBorder="1" applyAlignment="1">
      <alignment horizontal="center" vertical="center"/>
    </xf>
    <xf numFmtId="4" fontId="30" fillId="36" borderId="24" xfId="0" applyNumberFormat="1" applyFont="1" applyFill="1" applyBorder="1" applyAlignment="1">
      <alignment horizontal="center" vertical="center"/>
    </xf>
    <xf numFmtId="49" fontId="27" fillId="35" borderId="22" xfId="0" applyNumberFormat="1" applyFont="1" applyFill="1" applyBorder="1" applyAlignment="1">
      <alignment horizontal="left" vertical="center" wrapText="1"/>
    </xf>
    <xf numFmtId="49" fontId="27" fillId="35" borderId="23" xfId="0" applyNumberFormat="1" applyFont="1" applyFill="1" applyBorder="1" applyAlignment="1">
      <alignment horizontal="left" vertical="center" wrapText="1"/>
    </xf>
    <xf numFmtId="49" fontId="27" fillId="35" borderId="24" xfId="0" applyNumberFormat="1" applyFont="1" applyFill="1" applyBorder="1" applyAlignment="1">
      <alignment horizontal="left" vertical="center" wrapText="1"/>
    </xf>
    <xf numFmtId="2" fontId="31" fillId="35" borderId="22" xfId="0" applyNumberFormat="1" applyFont="1" applyFill="1" applyBorder="1" applyAlignment="1">
      <alignment horizontal="center" vertical="center"/>
    </xf>
    <xf numFmtId="2" fontId="31" fillId="35" borderId="23" xfId="0" applyNumberFormat="1" applyFont="1" applyFill="1" applyBorder="1" applyAlignment="1">
      <alignment horizontal="center" vertical="center"/>
    </xf>
    <xf numFmtId="2" fontId="31" fillId="35" borderId="24" xfId="0" applyNumberFormat="1" applyFont="1" applyFill="1" applyBorder="1" applyAlignment="1">
      <alignment horizontal="center" vertical="center"/>
    </xf>
    <xf numFmtId="49" fontId="31" fillId="35" borderId="22" xfId="0" applyNumberFormat="1" applyFont="1" applyFill="1" applyBorder="1" applyAlignment="1">
      <alignment horizontal="center" vertical="center"/>
    </xf>
    <xf numFmtId="49" fontId="31" fillId="35" borderId="23" xfId="0" applyNumberFormat="1" applyFont="1" applyFill="1" applyBorder="1" applyAlignment="1">
      <alignment horizontal="center" vertical="center"/>
    </xf>
    <xf numFmtId="49" fontId="31" fillId="35" borderId="24" xfId="0" applyNumberFormat="1" applyFont="1" applyFill="1" applyBorder="1" applyAlignment="1">
      <alignment horizontal="center" vertical="center"/>
    </xf>
    <xf numFmtId="49" fontId="27" fillId="35" borderId="22" xfId="0" applyNumberFormat="1" applyFont="1" applyFill="1" applyBorder="1" applyAlignment="1">
      <alignment horizontal="center" vertical="center" wrapText="1"/>
    </xf>
    <xf numFmtId="49" fontId="27" fillId="35" borderId="23" xfId="0" applyNumberFormat="1" applyFont="1" applyFill="1" applyBorder="1" applyAlignment="1">
      <alignment horizontal="center" vertical="center" wrapText="1"/>
    </xf>
    <xf numFmtId="49" fontId="27" fillId="35" borderId="24" xfId="0" applyNumberFormat="1" applyFont="1" applyFill="1" applyBorder="1" applyAlignment="1">
      <alignment horizontal="center" vertical="center" wrapText="1"/>
    </xf>
    <xf numFmtId="4" fontId="27" fillId="35" borderId="22" xfId="0" applyNumberFormat="1" applyFont="1" applyFill="1" applyBorder="1" applyAlignment="1">
      <alignment horizontal="left" vertical="center" wrapText="1"/>
    </xf>
    <xf numFmtId="4" fontId="27" fillId="35" borderId="23" xfId="0" applyNumberFormat="1" applyFont="1" applyFill="1" applyBorder="1" applyAlignment="1">
      <alignment horizontal="left" vertical="center" wrapText="1"/>
    </xf>
    <xf numFmtId="4" fontId="27" fillId="35" borderId="24" xfId="0" applyNumberFormat="1" applyFont="1" applyFill="1" applyBorder="1" applyAlignment="1">
      <alignment horizontal="left" vertical="center" wrapText="1"/>
    </xf>
    <xf numFmtId="4" fontId="31" fillId="35" borderId="22" xfId="0" applyNumberFormat="1" applyFont="1" applyFill="1" applyBorder="1" applyAlignment="1">
      <alignment horizontal="center" vertical="center"/>
    </xf>
    <xf numFmtId="4" fontId="31" fillId="35" borderId="23" xfId="0" applyNumberFormat="1" applyFont="1" applyFill="1" applyBorder="1" applyAlignment="1">
      <alignment horizontal="center" vertical="center"/>
    </xf>
    <xf numFmtId="4" fontId="31" fillId="35" borderId="24" xfId="0" applyNumberFormat="1" applyFont="1" applyFill="1" applyBorder="1" applyAlignment="1">
      <alignment horizontal="center" vertical="center"/>
    </xf>
    <xf numFmtId="4" fontId="27" fillId="38" borderId="22" xfId="0" applyNumberFormat="1" applyFont="1" applyFill="1" applyBorder="1" applyAlignment="1">
      <alignment horizontal="left" vertical="center" wrapText="1"/>
    </xf>
    <xf numFmtId="4" fontId="27" fillId="38" borderId="23" xfId="0" applyNumberFormat="1" applyFont="1" applyFill="1" applyBorder="1" applyAlignment="1">
      <alignment horizontal="left" vertical="center" wrapText="1"/>
    </xf>
    <xf numFmtId="4" fontId="27" fillId="38" borderId="24" xfId="0" applyNumberFormat="1" applyFont="1" applyFill="1" applyBorder="1" applyAlignment="1">
      <alignment horizontal="left" vertical="center" wrapText="1"/>
    </xf>
    <xf numFmtId="4" fontId="23" fillId="38" borderId="22" xfId="0" applyNumberFormat="1" applyFont="1" applyFill="1" applyBorder="1" applyAlignment="1">
      <alignment horizontal="left" vertical="center" wrapText="1"/>
    </xf>
    <xf numFmtId="4" fontId="23" fillId="38" borderId="23" xfId="0" applyNumberFormat="1" applyFont="1" applyFill="1" applyBorder="1" applyAlignment="1">
      <alignment horizontal="left" vertical="center" wrapText="1"/>
    </xf>
    <xf numFmtId="4" fontId="23" fillId="38" borderId="24" xfId="0" applyNumberFormat="1" applyFont="1" applyFill="1" applyBorder="1" applyAlignment="1">
      <alignment horizontal="left" vertical="center" wrapText="1"/>
    </xf>
    <xf numFmtId="3" fontId="20" fillId="35" borderId="0" xfId="0" applyNumberFormat="1" applyFont="1" applyFill="1" applyBorder="1" applyAlignment="1">
      <alignment horizontal="center" vertical="center"/>
    </xf>
    <xf numFmtId="4" fontId="31" fillId="35" borderId="18" xfId="0" applyNumberFormat="1" applyFont="1" applyFill="1" applyBorder="1" applyAlignment="1">
      <alignment horizontal="center" vertical="center"/>
    </xf>
    <xf numFmtId="4" fontId="27" fillId="37" borderId="22" xfId="0" applyNumberFormat="1" applyFont="1" applyFill="1" applyBorder="1" applyAlignment="1">
      <alignment horizontal="left" vertical="center" wrapText="1"/>
    </xf>
    <xf numFmtId="4" fontId="27" fillId="37" borderId="23" xfId="0" applyNumberFormat="1" applyFont="1" applyFill="1" applyBorder="1" applyAlignment="1">
      <alignment horizontal="left" vertical="center" wrapText="1"/>
    </xf>
    <xf numFmtId="4" fontId="27" fillId="37" borderId="24" xfId="0" applyNumberFormat="1" applyFont="1" applyFill="1" applyBorder="1" applyAlignment="1">
      <alignment horizontal="left" vertical="center" wrapText="1"/>
    </xf>
    <xf numFmtId="4" fontId="23" fillId="37" borderId="22" xfId="0" applyNumberFormat="1" applyFont="1" applyFill="1" applyBorder="1" applyAlignment="1">
      <alignment horizontal="left" vertical="center" wrapText="1"/>
    </xf>
    <xf numFmtId="4" fontId="23" fillId="37" borderId="23" xfId="0" applyNumberFormat="1" applyFont="1" applyFill="1" applyBorder="1" applyAlignment="1">
      <alignment horizontal="left" vertical="center" wrapText="1"/>
    </xf>
    <xf numFmtId="4" fontId="23" fillId="37" borderId="24" xfId="0" applyNumberFormat="1" applyFont="1" applyFill="1" applyBorder="1" applyAlignment="1">
      <alignment horizontal="left" vertical="center" wrapText="1"/>
    </xf>
    <xf numFmtId="4" fontId="23" fillId="37" borderId="20" xfId="0" applyNumberFormat="1" applyFont="1" applyFill="1" applyBorder="1" applyAlignment="1">
      <alignment horizontal="center" vertical="center"/>
    </xf>
    <xf numFmtId="4" fontId="23" fillId="37" borderId="23" xfId="0" applyNumberFormat="1" applyFont="1" applyFill="1" applyBorder="1" applyAlignment="1">
      <alignment horizontal="center" vertical="center"/>
    </xf>
    <xf numFmtId="4" fontId="23" fillId="37" borderId="18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66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45;&#1058;&#1068;\&#1052;&#1077;&#1088;&#1086;&#1087;&#1088;&#1080;&#1103;&#1090;&#1080;&#1103;%20&#1087;&#1088;&#1086;&#1075;&#1088;&#1072;&#1084;&#1084;&#1099;%20&#1050;&#1056;%2004.09.2013.%20&#1089;%20&#1082;&#1086;&#1083;&#1086;&#1076;&#1094;&#1072;&#1084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ероприятия пр."/>
      <sheetName val="21.05.2013"/>
      <sheetName val="27.08.2013"/>
    </sheetNames>
    <sheetDataSet>
      <sheetData sheetId="2">
        <row r="45">
          <cell r="H45">
            <v>12595.66</v>
          </cell>
        </row>
        <row r="46">
          <cell r="H46">
            <v>248084.71000000002</v>
          </cell>
        </row>
        <row r="108">
          <cell r="H108">
            <v>76482.03</v>
          </cell>
        </row>
        <row r="109">
          <cell r="H109">
            <v>1453158.55</v>
          </cell>
        </row>
        <row r="110">
          <cell r="H110">
            <v>0</v>
          </cell>
        </row>
        <row r="111">
          <cell r="H111">
            <v>15469.5</v>
          </cell>
        </row>
        <row r="112">
          <cell r="H112">
            <v>293920.41</v>
          </cell>
        </row>
        <row r="114">
          <cell r="H114">
            <v>18920.46</v>
          </cell>
        </row>
        <row r="115">
          <cell r="H115">
            <v>359488.72</v>
          </cell>
        </row>
        <row r="117">
          <cell r="H117">
            <v>131375.34</v>
          </cell>
        </row>
        <row r="118">
          <cell r="H118">
            <v>2496150.47</v>
          </cell>
        </row>
        <row r="120">
          <cell r="H120">
            <v>28265.87</v>
          </cell>
        </row>
        <row r="121">
          <cell r="H121">
            <v>537051.57</v>
          </cell>
        </row>
        <row r="123">
          <cell r="H123">
            <v>14772.16</v>
          </cell>
        </row>
        <row r="124">
          <cell r="H124">
            <v>280671.13</v>
          </cell>
        </row>
        <row r="126">
          <cell r="H126">
            <v>7265.48</v>
          </cell>
        </row>
        <row r="127">
          <cell r="H127">
            <v>198329.57</v>
          </cell>
        </row>
        <row r="129">
          <cell r="H129">
            <v>47761.15</v>
          </cell>
        </row>
        <row r="130">
          <cell r="H130">
            <v>907461.81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3"/>
  <sheetViews>
    <sheetView zoomScale="90" zoomScaleNormal="90" zoomScalePageLayoutView="0" workbookViewId="0" topLeftCell="A1">
      <pane xSplit="2" ySplit="11" topLeftCell="C16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F42" sqref="F42"/>
    </sheetView>
  </sheetViews>
  <sheetFormatPr defaultColWidth="11.57421875" defaultRowHeight="12.75"/>
  <cols>
    <col min="1" max="1" width="6.8515625" style="0" customWidth="1"/>
    <col min="2" max="2" width="45.8515625" style="0" customWidth="1"/>
    <col min="3" max="3" width="32.421875" style="0" customWidth="1"/>
    <col min="4" max="4" width="12.8515625" style="0" customWidth="1"/>
    <col min="5" max="5" width="15.421875" style="0" customWidth="1"/>
    <col min="6" max="6" width="11.28125" style="0" customWidth="1"/>
    <col min="7" max="7" width="12.140625" style="0" customWidth="1"/>
    <col min="8" max="8" width="12.00390625" style="0" customWidth="1"/>
    <col min="9" max="9" width="12.421875" style="0" customWidth="1"/>
    <col min="10" max="10" width="13.00390625" style="0" customWidth="1"/>
    <col min="11" max="11" width="12.7109375" style="0" customWidth="1"/>
  </cols>
  <sheetData>
    <row r="1" spans="1:11" ht="15">
      <c r="A1" s="1"/>
      <c r="B1" s="1"/>
      <c r="C1" s="1"/>
      <c r="D1" s="1"/>
      <c r="E1" s="2"/>
      <c r="F1" s="2"/>
      <c r="G1" s="2"/>
      <c r="H1" s="2"/>
      <c r="I1" s="2"/>
      <c r="J1" s="2"/>
      <c r="K1" s="3" t="s">
        <v>0</v>
      </c>
    </row>
    <row r="2" spans="1:11" ht="15">
      <c r="A2" s="4"/>
      <c r="B2" s="4"/>
      <c r="C2" s="4"/>
      <c r="D2" s="4"/>
      <c r="E2" s="5"/>
      <c r="F2" s="5"/>
      <c r="G2" s="618" t="s">
        <v>1</v>
      </c>
      <c r="H2" s="618"/>
      <c r="I2" s="618"/>
      <c r="J2" s="618"/>
      <c r="K2" s="618"/>
    </row>
    <row r="3" spans="1:11" ht="15">
      <c r="A3" s="1"/>
      <c r="B3" s="1"/>
      <c r="C3" s="1"/>
      <c r="D3" s="1"/>
      <c r="E3" s="618" t="s">
        <v>2</v>
      </c>
      <c r="F3" s="618"/>
      <c r="G3" s="618"/>
      <c r="H3" s="618"/>
      <c r="I3" s="618"/>
      <c r="J3" s="618"/>
      <c r="K3" s="618"/>
    </row>
    <row r="4" spans="1:11" ht="33.75" customHeight="1">
      <c r="A4" s="1"/>
      <c r="B4" s="1"/>
      <c r="C4" s="1"/>
      <c r="D4" s="1"/>
      <c r="E4" s="6"/>
      <c r="F4" s="1"/>
      <c r="G4" s="1"/>
      <c r="H4" s="1"/>
      <c r="I4" s="1"/>
      <c r="J4" s="1"/>
      <c r="K4" s="1"/>
    </row>
    <row r="5" spans="1:11" ht="15">
      <c r="A5" s="619" t="s">
        <v>3</v>
      </c>
      <c r="B5" s="619"/>
      <c r="C5" s="619"/>
      <c r="D5" s="619"/>
      <c r="E5" s="619"/>
      <c r="F5" s="619"/>
      <c r="G5" s="619"/>
      <c r="H5" s="619"/>
      <c r="I5" s="619"/>
      <c r="J5" s="619"/>
      <c r="K5" s="619"/>
    </row>
    <row r="6" spans="1:11" ht="15.75" customHeight="1">
      <c r="A6" s="620" t="s">
        <v>4</v>
      </c>
      <c r="B6" s="620"/>
      <c r="C6" s="620"/>
      <c r="D6" s="620"/>
      <c r="E6" s="620"/>
      <c r="F6" s="620"/>
      <c r="G6" s="620"/>
      <c r="H6" s="620"/>
      <c r="I6" s="620"/>
      <c r="J6" s="620"/>
      <c r="K6" s="620"/>
    </row>
    <row r="7" spans="1:11" ht="27" customHeight="1">
      <c r="A7" s="7"/>
      <c r="B7" s="8"/>
      <c r="C7" s="8"/>
      <c r="D7" s="8"/>
      <c r="E7" s="8"/>
      <c r="F7" s="8"/>
      <c r="G7" s="8"/>
      <c r="H7" s="8"/>
      <c r="I7" s="8"/>
      <c r="J7" s="8"/>
      <c r="K7" s="8"/>
    </row>
    <row r="8" spans="1:11" ht="19.5" customHeight="1" hidden="1">
      <c r="A8" s="1"/>
      <c r="B8" s="1"/>
      <c r="C8" s="1"/>
      <c r="D8" s="1"/>
      <c r="E8" s="1"/>
      <c r="F8" s="1"/>
      <c r="G8" s="98"/>
      <c r="H8" s="1"/>
      <c r="I8" s="1"/>
      <c r="J8" s="1"/>
      <c r="K8" s="1"/>
    </row>
    <row r="9" spans="1:12" s="10" customFormat="1" ht="18.75" customHeight="1">
      <c r="A9" s="621" t="s">
        <v>5</v>
      </c>
      <c r="B9" s="622" t="s">
        <v>6</v>
      </c>
      <c r="C9" s="622" t="s">
        <v>7</v>
      </c>
      <c r="D9" s="622" t="s">
        <v>8</v>
      </c>
      <c r="E9" s="622" t="s">
        <v>9</v>
      </c>
      <c r="F9" s="610" t="s">
        <v>10</v>
      </c>
      <c r="G9" s="610"/>
      <c r="H9" s="610"/>
      <c r="I9" s="610"/>
      <c r="J9" s="610"/>
      <c r="K9" s="623" t="s">
        <v>11</v>
      </c>
      <c r="L9" s="9"/>
    </row>
    <row r="10" spans="1:12" s="10" customFormat="1" ht="19.5" customHeight="1">
      <c r="A10" s="621"/>
      <c r="B10" s="622"/>
      <c r="C10" s="622"/>
      <c r="D10" s="622"/>
      <c r="E10" s="622"/>
      <c r="F10" s="11">
        <v>2011</v>
      </c>
      <c r="G10" s="11">
        <v>2012</v>
      </c>
      <c r="H10" s="11">
        <v>2013</v>
      </c>
      <c r="I10" s="11">
        <v>2014</v>
      </c>
      <c r="J10" s="11">
        <v>2015</v>
      </c>
      <c r="K10" s="623"/>
      <c r="L10" s="9"/>
    </row>
    <row r="11" spans="1:12" s="10" customFormat="1" ht="19.5" customHeight="1">
      <c r="A11" s="617" t="s">
        <v>12</v>
      </c>
      <c r="B11" s="617"/>
      <c r="C11" s="617"/>
      <c r="D11" s="617"/>
      <c r="E11" s="617"/>
      <c r="F11" s="617"/>
      <c r="G11" s="617"/>
      <c r="H11" s="617"/>
      <c r="I11" s="617"/>
      <c r="J11" s="617"/>
      <c r="K11" s="617"/>
      <c r="L11" s="9"/>
    </row>
    <row r="12" spans="1:12" ht="13.5" customHeight="1">
      <c r="A12" s="624">
        <v>1</v>
      </c>
      <c r="B12" s="625" t="s">
        <v>13</v>
      </c>
      <c r="C12" s="14" t="s">
        <v>14</v>
      </c>
      <c r="D12" s="626">
        <f>E12+E13+E14</f>
        <v>155474.45</v>
      </c>
      <c r="E12" s="16">
        <f aca="true" t="shared" si="0" ref="E12:E44">SUM(F12:J12)</f>
        <v>15172.244999999999</v>
      </c>
      <c r="F12" s="17">
        <f>F15+F18</f>
        <v>0</v>
      </c>
      <c r="G12" s="17">
        <f>G15+G18</f>
        <v>0</v>
      </c>
      <c r="H12" s="17">
        <f>H15+H18</f>
        <v>5402.3</v>
      </c>
      <c r="I12" s="17">
        <f>I15+I18</f>
        <v>4367.6449999999995</v>
      </c>
      <c r="J12" s="18">
        <f>J15+J18</f>
        <v>5402.3</v>
      </c>
      <c r="K12" s="627" t="s">
        <v>15</v>
      </c>
      <c r="L12" s="1"/>
    </row>
    <row r="13" spans="1:12" ht="13.5" customHeight="1" thickBot="1">
      <c r="A13" s="624"/>
      <c r="B13" s="625"/>
      <c r="C13" s="19" t="s">
        <v>16</v>
      </c>
      <c r="D13" s="626"/>
      <c r="E13" s="20">
        <f t="shared" si="0"/>
        <v>136550.20500000002</v>
      </c>
      <c r="F13" s="21">
        <v>0</v>
      </c>
      <c r="G13" s="21">
        <f aca="true" t="shared" si="1" ref="G13:J14">G16+G19</f>
        <v>0</v>
      </c>
      <c r="H13" s="21">
        <f t="shared" si="1"/>
        <v>48620.700000000004</v>
      </c>
      <c r="I13" s="21">
        <f t="shared" si="1"/>
        <v>39308.805</v>
      </c>
      <c r="J13" s="22">
        <f t="shared" si="1"/>
        <v>48620.7</v>
      </c>
      <c r="K13" s="627"/>
      <c r="L13" s="1"/>
    </row>
    <row r="14" spans="1:12" ht="15" customHeight="1" thickBot="1">
      <c r="A14" s="624"/>
      <c r="B14" s="625"/>
      <c r="C14" s="23" t="s">
        <v>17</v>
      </c>
      <c r="D14" s="626"/>
      <c r="E14" s="24">
        <f t="shared" si="0"/>
        <v>3752</v>
      </c>
      <c r="F14" s="21">
        <f>F17+F20</f>
        <v>0</v>
      </c>
      <c r="G14" s="21">
        <f>G17+G20</f>
        <v>3752</v>
      </c>
      <c r="H14" s="25">
        <f t="shared" si="1"/>
        <v>0</v>
      </c>
      <c r="I14" s="25">
        <f t="shared" si="1"/>
        <v>0</v>
      </c>
      <c r="J14" s="26">
        <f t="shared" si="1"/>
        <v>0</v>
      </c>
      <c r="K14" s="627"/>
      <c r="L14" s="1"/>
    </row>
    <row r="15" spans="1:12" ht="13.5" customHeight="1" thickBot="1">
      <c r="A15" s="616"/>
      <c r="B15" s="628" t="s">
        <v>18</v>
      </c>
      <c r="C15" s="27" t="s">
        <v>14</v>
      </c>
      <c r="D15" s="629">
        <f>E15+E16+E17</f>
        <v>3752</v>
      </c>
      <c r="E15" s="28">
        <f t="shared" si="0"/>
        <v>0</v>
      </c>
      <c r="F15" s="29">
        <v>0</v>
      </c>
      <c r="G15" s="29">
        <v>0</v>
      </c>
      <c r="H15" s="29">
        <v>0</v>
      </c>
      <c r="I15" s="29">
        <v>0</v>
      </c>
      <c r="J15" s="30">
        <v>0</v>
      </c>
      <c r="K15" s="627"/>
      <c r="L15" s="1"/>
    </row>
    <row r="16" spans="1:12" ht="12.75">
      <c r="A16" s="616"/>
      <c r="B16" s="628"/>
      <c r="C16" s="31" t="s">
        <v>16</v>
      </c>
      <c r="D16" s="629"/>
      <c r="E16" s="32">
        <f t="shared" si="0"/>
        <v>0</v>
      </c>
      <c r="F16" s="33">
        <v>0</v>
      </c>
      <c r="G16" s="33">
        <v>0</v>
      </c>
      <c r="H16" s="33">
        <v>0</v>
      </c>
      <c r="I16" s="33">
        <v>0</v>
      </c>
      <c r="J16" s="34">
        <v>0</v>
      </c>
      <c r="K16" s="627"/>
      <c r="L16" s="1"/>
    </row>
    <row r="17" spans="1:12" ht="12.75">
      <c r="A17" s="616"/>
      <c r="B17" s="628"/>
      <c r="C17" s="31" t="s">
        <v>17</v>
      </c>
      <c r="D17" s="629"/>
      <c r="E17" s="35">
        <f t="shared" si="0"/>
        <v>3752</v>
      </c>
      <c r="F17" s="36">
        <v>0</v>
      </c>
      <c r="G17" s="36">
        <v>3752</v>
      </c>
      <c r="H17" s="36">
        <v>0</v>
      </c>
      <c r="I17" s="36">
        <v>0</v>
      </c>
      <c r="J17" s="37">
        <v>0</v>
      </c>
      <c r="K17" s="627"/>
      <c r="L17" s="1"/>
    </row>
    <row r="18" spans="1:12" ht="12.75">
      <c r="A18" s="616"/>
      <c r="B18" s="628" t="s">
        <v>19</v>
      </c>
      <c r="C18" s="27" t="s">
        <v>14</v>
      </c>
      <c r="D18" s="629">
        <f>E18+E19+E20</f>
        <v>151722.45</v>
      </c>
      <c r="E18" s="28">
        <f t="shared" si="0"/>
        <v>15172.244999999999</v>
      </c>
      <c r="F18" s="28">
        <v>0</v>
      </c>
      <c r="G18" s="28">
        <v>0</v>
      </c>
      <c r="H18" s="28">
        <f>54023*0.1</f>
        <v>5402.3</v>
      </c>
      <c r="I18" s="29">
        <f>43676.45*0.1</f>
        <v>4367.6449999999995</v>
      </c>
      <c r="J18" s="30">
        <v>5402.3</v>
      </c>
      <c r="K18" s="627"/>
      <c r="L18" s="1"/>
    </row>
    <row r="19" spans="1:12" ht="12.75">
      <c r="A19" s="616"/>
      <c r="B19" s="628"/>
      <c r="C19" s="31" t="s">
        <v>16</v>
      </c>
      <c r="D19" s="629"/>
      <c r="E19" s="32">
        <f t="shared" si="0"/>
        <v>136550.20500000002</v>
      </c>
      <c r="F19" s="33">
        <v>0</v>
      </c>
      <c r="G19" s="33">
        <v>0</v>
      </c>
      <c r="H19" s="33">
        <f>54023*0.9</f>
        <v>48620.700000000004</v>
      </c>
      <c r="I19" s="33">
        <f>43676.45*0.9</f>
        <v>39308.805</v>
      </c>
      <c r="J19" s="34">
        <v>48620.7</v>
      </c>
      <c r="K19" s="627"/>
      <c r="L19" s="1"/>
    </row>
    <row r="20" spans="1:12" ht="13.5" customHeight="1" thickBot="1">
      <c r="A20" s="616"/>
      <c r="B20" s="628"/>
      <c r="C20" s="31" t="s">
        <v>17</v>
      </c>
      <c r="D20" s="629"/>
      <c r="E20" s="35">
        <f t="shared" si="0"/>
        <v>0</v>
      </c>
      <c r="F20" s="35">
        <v>0</v>
      </c>
      <c r="G20" s="35">
        <v>0</v>
      </c>
      <c r="H20" s="35">
        <v>0</v>
      </c>
      <c r="I20" s="35">
        <v>0</v>
      </c>
      <c r="J20" s="37"/>
      <c r="K20" s="627"/>
      <c r="L20" s="1"/>
    </row>
    <row r="21" spans="1:12" ht="13.5" customHeight="1" thickBot="1">
      <c r="A21" s="630">
        <v>2</v>
      </c>
      <c r="B21" s="625" t="s">
        <v>20</v>
      </c>
      <c r="C21" s="99" t="s">
        <v>14</v>
      </c>
      <c r="D21" s="626">
        <f>E21+E22+E23</f>
        <v>147051.95</v>
      </c>
      <c r="E21" s="16">
        <f t="shared" si="0"/>
        <v>14705.195000000002</v>
      </c>
      <c r="F21" s="16">
        <v>0</v>
      </c>
      <c r="G21" s="16">
        <v>0</v>
      </c>
      <c r="H21" s="16">
        <f>147051.95*0.1</f>
        <v>14705.195000000002</v>
      </c>
      <c r="I21" s="16">
        <v>0</v>
      </c>
      <c r="J21" s="39">
        <v>0</v>
      </c>
      <c r="K21" s="627"/>
      <c r="L21" s="1"/>
    </row>
    <row r="22" spans="1:12" ht="13.5" customHeight="1" thickBot="1">
      <c r="A22" s="630"/>
      <c r="B22" s="625"/>
      <c r="C22" s="40" t="s">
        <v>16</v>
      </c>
      <c r="D22" s="626"/>
      <c r="E22" s="41">
        <f t="shared" si="0"/>
        <v>132346.755</v>
      </c>
      <c r="F22" s="41">
        <v>0</v>
      </c>
      <c r="G22" s="41">
        <v>0</v>
      </c>
      <c r="H22" s="41">
        <f>147051.95*0.9</f>
        <v>132346.755</v>
      </c>
      <c r="I22" s="41">
        <v>0</v>
      </c>
      <c r="J22" s="42">
        <v>0</v>
      </c>
      <c r="K22" s="627"/>
      <c r="L22" s="1"/>
    </row>
    <row r="23" spans="1:12" ht="15.75" customHeight="1">
      <c r="A23" s="630"/>
      <c r="B23" s="625"/>
      <c r="C23" s="23" t="s">
        <v>17</v>
      </c>
      <c r="D23" s="626"/>
      <c r="E23" s="24">
        <f t="shared" si="0"/>
        <v>0</v>
      </c>
      <c r="F23" s="24">
        <v>0</v>
      </c>
      <c r="G23" s="24">
        <v>0</v>
      </c>
      <c r="H23" s="24">
        <v>0</v>
      </c>
      <c r="I23" s="24">
        <v>0</v>
      </c>
      <c r="J23" s="43">
        <v>0</v>
      </c>
      <c r="K23" s="627"/>
      <c r="L23" s="1"/>
    </row>
    <row r="24" spans="1:12" s="10" customFormat="1" ht="12.75" customHeight="1">
      <c r="A24" s="630">
        <v>3</v>
      </c>
      <c r="B24" s="625" t="s">
        <v>21</v>
      </c>
      <c r="C24" s="38" t="s">
        <v>14</v>
      </c>
      <c r="D24" s="611">
        <f>E24+E25+E26</f>
        <v>52803.98</v>
      </c>
      <c r="E24" s="16">
        <f t="shared" si="0"/>
        <v>0</v>
      </c>
      <c r="F24" s="17">
        <v>0</v>
      </c>
      <c r="G24" s="17">
        <v>0</v>
      </c>
      <c r="H24" s="17">
        <v>0</v>
      </c>
      <c r="I24" s="17">
        <v>0</v>
      </c>
      <c r="J24" s="18">
        <v>0</v>
      </c>
      <c r="K24" s="627"/>
      <c r="L24" s="9"/>
    </row>
    <row r="25" spans="1:12" s="10" customFormat="1" ht="12.75" customHeight="1" thickBot="1">
      <c r="A25" s="630"/>
      <c r="B25" s="625"/>
      <c r="C25" s="40" t="s">
        <v>16</v>
      </c>
      <c r="D25" s="611"/>
      <c r="E25" s="41">
        <f t="shared" si="0"/>
        <v>0</v>
      </c>
      <c r="F25" s="21">
        <v>0</v>
      </c>
      <c r="G25" s="21">
        <v>0</v>
      </c>
      <c r="H25" s="21">
        <v>0</v>
      </c>
      <c r="I25" s="21">
        <v>0</v>
      </c>
      <c r="J25" s="22">
        <v>0</v>
      </c>
      <c r="K25" s="627"/>
      <c r="L25" s="9"/>
    </row>
    <row r="26" spans="1:12" s="10" customFormat="1" ht="13.5" customHeight="1" thickBot="1">
      <c r="A26" s="630"/>
      <c r="B26" s="625"/>
      <c r="C26" s="23" t="s">
        <v>17</v>
      </c>
      <c r="D26" s="611"/>
      <c r="E26" s="24">
        <f t="shared" si="0"/>
        <v>52803.98</v>
      </c>
      <c r="F26" s="25">
        <v>0</v>
      </c>
      <c r="G26" s="25">
        <f>16629.89+17579.66</f>
        <v>34209.55</v>
      </c>
      <c r="H26" s="25">
        <v>18594.43</v>
      </c>
      <c r="I26" s="25">
        <v>0</v>
      </c>
      <c r="J26" s="26">
        <v>0</v>
      </c>
      <c r="K26" s="627"/>
      <c r="L26" s="9"/>
    </row>
    <row r="27" spans="1:12" s="10" customFormat="1" ht="13.5" customHeight="1" thickBot="1">
      <c r="A27" s="630">
        <v>4</v>
      </c>
      <c r="B27" s="625" t="s">
        <v>84</v>
      </c>
      <c r="C27" s="38" t="s">
        <v>14</v>
      </c>
      <c r="D27" s="611">
        <f>E27+E28+E29</f>
        <v>1800</v>
      </c>
      <c r="E27" s="16">
        <f t="shared" si="0"/>
        <v>1800</v>
      </c>
      <c r="F27" s="17">
        <v>0</v>
      </c>
      <c r="G27" s="17">
        <v>1800</v>
      </c>
      <c r="H27" s="17">
        <v>0</v>
      </c>
      <c r="I27" s="17">
        <v>0</v>
      </c>
      <c r="J27" s="18">
        <v>0</v>
      </c>
      <c r="K27" s="627"/>
      <c r="L27" s="9"/>
    </row>
    <row r="28" spans="1:12" s="10" customFormat="1" ht="13.5" thickBot="1">
      <c r="A28" s="630"/>
      <c r="B28" s="625"/>
      <c r="C28" s="40" t="s">
        <v>16</v>
      </c>
      <c r="D28" s="611"/>
      <c r="E28" s="20">
        <f t="shared" si="0"/>
        <v>0</v>
      </c>
      <c r="F28" s="21">
        <f>SUM(G28:K28)</f>
        <v>0</v>
      </c>
      <c r="G28" s="21">
        <v>0</v>
      </c>
      <c r="H28" s="21">
        <v>0</v>
      </c>
      <c r="I28" s="21">
        <v>0</v>
      </c>
      <c r="J28" s="22">
        <v>0</v>
      </c>
      <c r="K28" s="627"/>
      <c r="L28" s="9"/>
    </row>
    <row r="29" spans="1:12" s="10" customFormat="1" ht="13.5" thickBot="1">
      <c r="A29" s="630"/>
      <c r="B29" s="625"/>
      <c r="C29" s="23" t="s">
        <v>17</v>
      </c>
      <c r="D29" s="611"/>
      <c r="E29" s="24">
        <f t="shared" si="0"/>
        <v>0</v>
      </c>
      <c r="F29" s="25">
        <v>0</v>
      </c>
      <c r="G29" s="25">
        <v>0</v>
      </c>
      <c r="H29" s="25">
        <v>0</v>
      </c>
      <c r="I29" s="25">
        <v>0</v>
      </c>
      <c r="J29" s="26">
        <v>0</v>
      </c>
      <c r="K29" s="627"/>
      <c r="L29" s="9"/>
    </row>
    <row r="30" spans="1:12" s="10" customFormat="1" ht="13.5" customHeight="1" thickBot="1">
      <c r="A30" s="624">
        <v>5</v>
      </c>
      <c r="B30" s="625" t="s">
        <v>22</v>
      </c>
      <c r="C30" s="38" t="s">
        <v>14</v>
      </c>
      <c r="D30" s="611">
        <f>E30+E31+E32</f>
        <v>386.774</v>
      </c>
      <c r="E30" s="16">
        <f t="shared" si="0"/>
        <v>386.774</v>
      </c>
      <c r="F30" s="16">
        <f aca="true" t="shared" si="2" ref="F30:J32">F33+F36</f>
        <v>0</v>
      </c>
      <c r="G30" s="16">
        <f t="shared" si="2"/>
        <v>0</v>
      </c>
      <c r="H30" s="16">
        <f t="shared" si="2"/>
        <v>386.774</v>
      </c>
      <c r="I30" s="16">
        <f t="shared" si="2"/>
        <v>0</v>
      </c>
      <c r="J30" s="16">
        <f t="shared" si="2"/>
        <v>0</v>
      </c>
      <c r="K30" s="627"/>
      <c r="L30" s="9"/>
    </row>
    <row r="31" spans="1:12" s="10" customFormat="1" ht="13.5" thickBot="1">
      <c r="A31" s="624"/>
      <c r="B31" s="625"/>
      <c r="C31" s="40" t="s">
        <v>16</v>
      </c>
      <c r="D31" s="611"/>
      <c r="E31" s="20">
        <f t="shared" si="0"/>
        <v>0</v>
      </c>
      <c r="F31" s="20">
        <f t="shared" si="2"/>
        <v>0</v>
      </c>
      <c r="G31" s="20">
        <f t="shared" si="2"/>
        <v>0</v>
      </c>
      <c r="H31" s="20">
        <f t="shared" si="2"/>
        <v>0</v>
      </c>
      <c r="I31" s="20">
        <f t="shared" si="2"/>
        <v>0</v>
      </c>
      <c r="J31" s="20">
        <f t="shared" si="2"/>
        <v>0</v>
      </c>
      <c r="K31" s="627"/>
      <c r="L31" s="9"/>
    </row>
    <row r="32" spans="1:12" s="10" customFormat="1" ht="12.75">
      <c r="A32" s="624"/>
      <c r="B32" s="625"/>
      <c r="C32" s="23" t="s">
        <v>17</v>
      </c>
      <c r="D32" s="611"/>
      <c r="E32" s="24">
        <f t="shared" si="0"/>
        <v>0</v>
      </c>
      <c r="F32" s="24">
        <f t="shared" si="2"/>
        <v>0</v>
      </c>
      <c r="G32" s="24">
        <f t="shared" si="2"/>
        <v>0</v>
      </c>
      <c r="H32" s="24">
        <f t="shared" si="2"/>
        <v>0</v>
      </c>
      <c r="I32" s="24">
        <f t="shared" si="2"/>
        <v>0</v>
      </c>
      <c r="J32" s="24">
        <f t="shared" si="2"/>
        <v>0</v>
      </c>
      <c r="K32" s="627"/>
      <c r="L32" s="9"/>
    </row>
    <row r="33" spans="1:12" s="10" customFormat="1" ht="13.5" customHeight="1">
      <c r="A33" s="616"/>
      <c r="B33" s="625" t="s">
        <v>23</v>
      </c>
      <c r="C33" s="38" t="s">
        <v>14</v>
      </c>
      <c r="D33" s="629">
        <f>E33+E34+E35</f>
        <v>189.974</v>
      </c>
      <c r="E33" s="28">
        <f t="shared" si="0"/>
        <v>189.974</v>
      </c>
      <c r="F33" s="29">
        <v>0</v>
      </c>
      <c r="G33" s="29">
        <v>0</v>
      </c>
      <c r="H33" s="29">
        <f>189.974</f>
        <v>189.974</v>
      </c>
      <c r="I33" s="29">
        <v>0</v>
      </c>
      <c r="J33" s="29">
        <v>0</v>
      </c>
      <c r="K33" s="627"/>
      <c r="L33" s="9"/>
    </row>
    <row r="34" spans="1:12" s="10" customFormat="1" ht="12.75">
      <c r="A34" s="616"/>
      <c r="B34" s="625"/>
      <c r="C34" s="40" t="s">
        <v>16</v>
      </c>
      <c r="D34" s="629"/>
      <c r="E34" s="32">
        <f t="shared" si="0"/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627"/>
      <c r="L34" s="9"/>
    </row>
    <row r="35" spans="1:12" s="10" customFormat="1" ht="12.75">
      <c r="A35" s="616"/>
      <c r="B35" s="625"/>
      <c r="C35" s="23" t="s">
        <v>17</v>
      </c>
      <c r="D35" s="629"/>
      <c r="E35" s="35">
        <f t="shared" si="0"/>
        <v>0</v>
      </c>
      <c r="F35" s="36">
        <v>0</v>
      </c>
      <c r="G35" s="36">
        <v>0</v>
      </c>
      <c r="H35" s="36">
        <v>0</v>
      </c>
      <c r="I35" s="36">
        <v>0</v>
      </c>
      <c r="J35" s="36">
        <v>0</v>
      </c>
      <c r="K35" s="627"/>
      <c r="L35" s="9"/>
    </row>
    <row r="36" spans="1:12" s="10" customFormat="1" ht="13.5" customHeight="1">
      <c r="A36" s="616"/>
      <c r="B36" s="625" t="s">
        <v>24</v>
      </c>
      <c r="C36" s="38" t="s">
        <v>14</v>
      </c>
      <c r="D36" s="629">
        <f>E36+E37+E38</f>
        <v>196.8</v>
      </c>
      <c r="E36" s="28">
        <f t="shared" si="0"/>
        <v>196.8</v>
      </c>
      <c r="F36" s="28">
        <v>0</v>
      </c>
      <c r="G36" s="29">
        <v>0</v>
      </c>
      <c r="H36" s="29">
        <v>196.8</v>
      </c>
      <c r="I36" s="29">
        <v>0</v>
      </c>
      <c r="J36" s="29">
        <v>0</v>
      </c>
      <c r="K36" s="627"/>
      <c r="L36" s="9"/>
    </row>
    <row r="37" spans="1:12" s="10" customFormat="1" ht="18" customHeight="1" thickBot="1">
      <c r="A37" s="616"/>
      <c r="B37" s="625"/>
      <c r="C37" s="40" t="s">
        <v>16</v>
      </c>
      <c r="D37" s="629"/>
      <c r="E37" s="32">
        <f t="shared" si="0"/>
        <v>0</v>
      </c>
      <c r="F37" s="32">
        <f>SUM(G37:K37)</f>
        <v>0</v>
      </c>
      <c r="G37" s="33">
        <v>0</v>
      </c>
      <c r="H37" s="33">
        <v>0</v>
      </c>
      <c r="I37" s="33">
        <v>0</v>
      </c>
      <c r="J37" s="33">
        <v>0</v>
      </c>
      <c r="K37" s="627"/>
      <c r="L37" s="9"/>
    </row>
    <row r="38" spans="1:12" s="10" customFormat="1" ht="12.75" customHeight="1" thickBot="1">
      <c r="A38" s="616"/>
      <c r="B38" s="625"/>
      <c r="C38" s="23" t="s">
        <v>17</v>
      </c>
      <c r="D38" s="629"/>
      <c r="E38" s="35">
        <f t="shared" si="0"/>
        <v>0</v>
      </c>
      <c r="F38" s="35">
        <f>SUM(G38:K38)</f>
        <v>0</v>
      </c>
      <c r="G38" s="36">
        <v>0</v>
      </c>
      <c r="H38" s="36">
        <v>0</v>
      </c>
      <c r="I38" s="36">
        <v>0</v>
      </c>
      <c r="J38" s="36">
        <v>0</v>
      </c>
      <c r="K38" s="627"/>
      <c r="L38" s="9"/>
    </row>
    <row r="39" spans="1:12" s="10" customFormat="1" ht="12.75" customHeight="1" thickBot="1">
      <c r="A39" s="624">
        <v>7</v>
      </c>
      <c r="B39" s="631" t="s">
        <v>86</v>
      </c>
      <c r="C39" s="14" t="s">
        <v>14</v>
      </c>
      <c r="D39" s="611">
        <f>E39+E40+E41</f>
        <v>23890</v>
      </c>
      <c r="E39" s="16">
        <f t="shared" si="0"/>
        <v>0</v>
      </c>
      <c r="F39" s="16">
        <v>0</v>
      </c>
      <c r="G39" s="17">
        <v>0</v>
      </c>
      <c r="H39" s="17">
        <v>0</v>
      </c>
      <c r="I39" s="17">
        <v>0</v>
      </c>
      <c r="J39" s="18">
        <v>0</v>
      </c>
      <c r="K39" s="627"/>
      <c r="L39" s="9"/>
    </row>
    <row r="40" spans="1:12" s="10" customFormat="1" ht="12" customHeight="1" thickBot="1">
      <c r="A40" s="624"/>
      <c r="B40" s="631"/>
      <c r="C40" s="19" t="s">
        <v>16</v>
      </c>
      <c r="D40" s="611"/>
      <c r="E40" s="20">
        <f t="shared" si="0"/>
        <v>0</v>
      </c>
      <c r="F40" s="20">
        <v>0</v>
      </c>
      <c r="G40" s="21">
        <v>0</v>
      </c>
      <c r="H40" s="21">
        <v>0</v>
      </c>
      <c r="I40" s="21">
        <v>0</v>
      </c>
      <c r="J40" s="22">
        <v>0</v>
      </c>
      <c r="K40" s="627"/>
      <c r="L40" s="9"/>
    </row>
    <row r="41" spans="1:12" s="10" customFormat="1" ht="12.75" customHeight="1" thickBot="1">
      <c r="A41" s="624"/>
      <c r="B41" s="631"/>
      <c r="C41" s="23" t="s">
        <v>17</v>
      </c>
      <c r="D41" s="611"/>
      <c r="E41" s="24">
        <f t="shared" si="0"/>
        <v>23890</v>
      </c>
      <c r="F41" s="24">
        <v>0</v>
      </c>
      <c r="G41" s="25">
        <f>21920+1970</f>
        <v>23890</v>
      </c>
      <c r="H41" s="25">
        <v>0</v>
      </c>
      <c r="I41" s="25">
        <v>0</v>
      </c>
      <c r="J41" s="26">
        <v>0</v>
      </c>
      <c r="K41" s="627"/>
      <c r="L41" s="9"/>
    </row>
    <row r="42" spans="1:13" ht="12.75" customHeight="1" thickBot="1">
      <c r="A42" s="630">
        <v>8</v>
      </c>
      <c r="B42" s="631" t="s">
        <v>82</v>
      </c>
      <c r="C42" s="14" t="s">
        <v>25</v>
      </c>
      <c r="D42" s="100"/>
      <c r="E42" s="16">
        <f t="shared" si="0"/>
        <v>2342.4</v>
      </c>
      <c r="F42" s="106">
        <v>2342.4</v>
      </c>
      <c r="G42" s="17">
        <v>0</v>
      </c>
      <c r="H42" s="17">
        <v>0</v>
      </c>
      <c r="I42" s="17">
        <v>0</v>
      </c>
      <c r="J42" s="17">
        <v>0</v>
      </c>
      <c r="K42" s="627"/>
      <c r="L42" s="9"/>
      <c r="M42" s="1"/>
    </row>
    <row r="43" spans="1:13" ht="15.75" customHeight="1" thickBot="1">
      <c r="A43" s="630"/>
      <c r="B43" s="631"/>
      <c r="C43" s="19" t="s">
        <v>16</v>
      </c>
      <c r="D43" s="101">
        <f>E42+E43+E44</f>
        <v>2342.4</v>
      </c>
      <c r="E43" s="20">
        <f t="shared" si="0"/>
        <v>0</v>
      </c>
      <c r="F43" s="21">
        <v>0</v>
      </c>
      <c r="G43" s="21">
        <v>0</v>
      </c>
      <c r="H43" s="21">
        <v>0</v>
      </c>
      <c r="I43" s="21">
        <v>0</v>
      </c>
      <c r="J43" s="22">
        <v>0</v>
      </c>
      <c r="K43" s="627"/>
      <c r="L43" s="44"/>
      <c r="M43" s="1"/>
    </row>
    <row r="44" spans="1:13" ht="15.75" customHeight="1" thickBot="1">
      <c r="A44" s="630"/>
      <c r="B44" s="631"/>
      <c r="C44" s="23" t="s">
        <v>17</v>
      </c>
      <c r="D44" s="102"/>
      <c r="E44" s="24">
        <f t="shared" si="0"/>
        <v>0</v>
      </c>
      <c r="F44" s="25">
        <v>0</v>
      </c>
      <c r="G44" s="25">
        <v>0</v>
      </c>
      <c r="H44" s="25">
        <v>0</v>
      </c>
      <c r="I44" s="25">
        <v>0</v>
      </c>
      <c r="J44" s="26">
        <v>0</v>
      </c>
      <c r="K44" s="627"/>
      <c r="L44" s="44"/>
      <c r="M44" s="1"/>
    </row>
    <row r="45" spans="1:11" ht="12.75" customHeight="1" hidden="1">
      <c r="A45" s="632"/>
      <c r="B45" s="633"/>
      <c r="C45" s="14"/>
      <c r="D45" s="49"/>
      <c r="E45" s="50"/>
      <c r="F45" s="50"/>
      <c r="G45" s="50"/>
      <c r="H45" s="50"/>
      <c r="I45" s="50"/>
      <c r="J45" s="50"/>
      <c r="K45" s="627"/>
    </row>
    <row r="46" spans="1:13" ht="12.75" customHeight="1" hidden="1">
      <c r="A46" s="632"/>
      <c r="B46" s="633"/>
      <c r="C46" s="19"/>
      <c r="D46" s="45"/>
      <c r="E46" s="51"/>
      <c r="F46" s="52"/>
      <c r="G46" s="53"/>
      <c r="H46" s="53"/>
      <c r="I46" s="53"/>
      <c r="J46" s="54"/>
      <c r="K46" s="627"/>
      <c r="L46" s="44"/>
      <c r="M46" s="1"/>
    </row>
    <row r="47" spans="1:13" ht="12.75" customHeight="1" hidden="1">
      <c r="A47" s="632"/>
      <c r="B47" s="633"/>
      <c r="C47" s="23"/>
      <c r="D47" s="45"/>
      <c r="E47" s="51"/>
      <c r="F47" s="52"/>
      <c r="G47" s="53"/>
      <c r="H47" s="53"/>
      <c r="I47" s="53"/>
      <c r="J47" s="54"/>
      <c r="K47" s="627"/>
      <c r="L47" s="44"/>
      <c r="M47" s="1"/>
    </row>
    <row r="48" spans="1:12" s="56" customFormat="1" ht="13.5" customHeight="1" thickBot="1">
      <c r="A48" s="630">
        <v>9</v>
      </c>
      <c r="B48" s="631" t="s">
        <v>83</v>
      </c>
      <c r="C48" s="14" t="s">
        <v>25</v>
      </c>
      <c r="D48" s="635">
        <f>E48+E49+E50</f>
        <v>4295</v>
      </c>
      <c r="E48" s="16">
        <f>SUM(F48:J48)</f>
        <v>4295</v>
      </c>
      <c r="F48" s="107">
        <v>4295</v>
      </c>
      <c r="G48" s="16">
        <v>0</v>
      </c>
      <c r="H48" s="16">
        <v>0</v>
      </c>
      <c r="I48" s="16">
        <v>0</v>
      </c>
      <c r="J48" s="16">
        <v>0</v>
      </c>
      <c r="K48" s="627"/>
      <c r="L48" s="55"/>
    </row>
    <row r="49" spans="1:12" s="56" customFormat="1" ht="13.5" thickBot="1">
      <c r="A49" s="630"/>
      <c r="B49" s="631"/>
      <c r="C49" s="19" t="s">
        <v>16</v>
      </c>
      <c r="D49" s="636"/>
      <c r="E49" s="20">
        <f>SUM(F49:J49)</f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627"/>
      <c r="L49" s="55"/>
    </row>
    <row r="50" spans="1:12" s="56" customFormat="1" ht="13.5" thickBot="1">
      <c r="A50" s="630"/>
      <c r="B50" s="631"/>
      <c r="C50" s="23" t="s">
        <v>17</v>
      </c>
      <c r="D50" s="637"/>
      <c r="E50" s="24">
        <f aca="true" t="shared" si="3" ref="E50:E60">SUM(F50:J50)</f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627"/>
      <c r="L50" s="55"/>
    </row>
    <row r="51" spans="1:12" s="56" customFormat="1" ht="13.5" thickBot="1">
      <c r="A51" s="612">
        <v>10</v>
      </c>
      <c r="B51" s="615" t="s">
        <v>80</v>
      </c>
      <c r="C51" s="14" t="s">
        <v>14</v>
      </c>
      <c r="D51" s="611">
        <f>E51+E52+E53</f>
        <v>1979.233</v>
      </c>
      <c r="E51" s="20">
        <f t="shared" si="3"/>
        <v>1979.233</v>
      </c>
      <c r="F51" s="17">
        <v>0</v>
      </c>
      <c r="G51" s="17">
        <v>1979.233</v>
      </c>
      <c r="H51" s="17">
        <v>0</v>
      </c>
      <c r="I51" s="17">
        <v>0</v>
      </c>
      <c r="J51" s="17">
        <v>0</v>
      </c>
      <c r="K51" s="627"/>
      <c r="L51" s="55"/>
    </row>
    <row r="52" spans="1:12" s="56" customFormat="1" ht="13.5" thickBot="1">
      <c r="A52" s="613"/>
      <c r="B52" s="615"/>
      <c r="C52" s="19" t="s">
        <v>16</v>
      </c>
      <c r="D52" s="611"/>
      <c r="E52" s="20">
        <f t="shared" si="3"/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627"/>
      <c r="L52" s="55"/>
    </row>
    <row r="53" spans="1:12" s="56" customFormat="1" ht="13.5" thickBot="1">
      <c r="A53" s="614"/>
      <c r="B53" s="615"/>
      <c r="C53" s="23" t="s">
        <v>17</v>
      </c>
      <c r="D53" s="611"/>
      <c r="E53" s="24">
        <f t="shared" si="3"/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627"/>
      <c r="L53" s="55"/>
    </row>
    <row r="54" spans="1:12" s="56" customFormat="1" ht="13.5" customHeight="1" thickBot="1">
      <c r="A54" s="612">
        <v>11</v>
      </c>
      <c r="B54" s="615" t="s">
        <v>81</v>
      </c>
      <c r="C54" s="14" t="s">
        <v>14</v>
      </c>
      <c r="D54" s="611">
        <f>E54+E55+E56</f>
        <v>988.74</v>
      </c>
      <c r="E54" s="20">
        <f aca="true" t="shared" si="4" ref="E54:E59">SUM(F54:J54)</f>
        <v>988.74</v>
      </c>
      <c r="F54" s="17">
        <v>0</v>
      </c>
      <c r="G54" s="17">
        <v>988.74</v>
      </c>
      <c r="H54" s="17">
        <v>0</v>
      </c>
      <c r="I54" s="17">
        <v>0</v>
      </c>
      <c r="J54" s="17">
        <v>0</v>
      </c>
      <c r="K54" s="627"/>
      <c r="L54" s="55"/>
    </row>
    <row r="55" spans="1:12" s="56" customFormat="1" ht="13.5" thickBot="1">
      <c r="A55" s="613"/>
      <c r="B55" s="615"/>
      <c r="C55" s="19" t="s">
        <v>16</v>
      </c>
      <c r="D55" s="611"/>
      <c r="E55" s="20">
        <f t="shared" si="4"/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627"/>
      <c r="L55" s="103"/>
    </row>
    <row r="56" spans="1:12" s="56" customFormat="1" ht="13.5" thickBot="1">
      <c r="A56" s="614"/>
      <c r="B56" s="615"/>
      <c r="C56" s="23" t="s">
        <v>17</v>
      </c>
      <c r="D56" s="611"/>
      <c r="E56" s="24">
        <f t="shared" si="4"/>
        <v>0</v>
      </c>
      <c r="F56" s="25">
        <v>0</v>
      </c>
      <c r="G56" s="25">
        <v>0</v>
      </c>
      <c r="H56" s="25">
        <v>0</v>
      </c>
      <c r="I56" s="25">
        <v>0</v>
      </c>
      <c r="J56" s="25">
        <v>0</v>
      </c>
      <c r="K56" s="627"/>
      <c r="L56" s="103">
        <f>3526.5-G51-G54-G57</f>
        <v>-51.98599999999999</v>
      </c>
    </row>
    <row r="57" spans="1:12" s="56" customFormat="1" ht="13.5" customHeight="1" thickBot="1">
      <c r="A57" s="612">
        <v>12</v>
      </c>
      <c r="B57" s="615" t="s">
        <v>88</v>
      </c>
      <c r="C57" s="14" t="s">
        <v>14</v>
      </c>
      <c r="D57" s="611">
        <f>E57+E58+E59</f>
        <v>610.513</v>
      </c>
      <c r="E57" s="20">
        <f t="shared" si="4"/>
        <v>610.513</v>
      </c>
      <c r="F57" s="17">
        <v>0</v>
      </c>
      <c r="G57" s="17">
        <v>610.513</v>
      </c>
      <c r="H57" s="17">
        <v>0</v>
      </c>
      <c r="I57" s="17">
        <v>0</v>
      </c>
      <c r="J57" s="17">
        <v>0</v>
      </c>
      <c r="K57" s="627"/>
      <c r="L57" s="55"/>
    </row>
    <row r="58" spans="1:12" s="56" customFormat="1" ht="13.5" thickBot="1">
      <c r="A58" s="613"/>
      <c r="B58" s="615"/>
      <c r="C58" s="19" t="s">
        <v>16</v>
      </c>
      <c r="D58" s="611"/>
      <c r="E58" s="20">
        <f t="shared" si="4"/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627"/>
      <c r="L58" s="55"/>
    </row>
    <row r="59" spans="1:12" s="56" customFormat="1" ht="13.5" thickBot="1">
      <c r="A59" s="614"/>
      <c r="B59" s="615"/>
      <c r="C59" s="23" t="s">
        <v>17</v>
      </c>
      <c r="D59" s="611"/>
      <c r="E59" s="24">
        <f t="shared" si="4"/>
        <v>0</v>
      </c>
      <c r="F59" s="25">
        <v>0</v>
      </c>
      <c r="G59" s="25">
        <v>0</v>
      </c>
      <c r="H59" s="25">
        <v>0</v>
      </c>
      <c r="I59" s="25">
        <v>0</v>
      </c>
      <c r="J59" s="25">
        <v>0</v>
      </c>
      <c r="K59" s="627"/>
      <c r="L59" s="55"/>
    </row>
    <row r="60" spans="1:12" ht="12.75" customHeight="1" thickBot="1">
      <c r="A60" s="634">
        <v>13</v>
      </c>
      <c r="B60" s="615" t="s">
        <v>89</v>
      </c>
      <c r="C60" s="57" t="s">
        <v>14</v>
      </c>
      <c r="D60" s="611">
        <f>E60+E61+E62</f>
        <v>8913.34</v>
      </c>
      <c r="E60" s="20">
        <f t="shared" si="3"/>
        <v>8913.34</v>
      </c>
      <c r="F60" s="20">
        <f>15517-6603.66-5084.435</f>
        <v>3828.9049999999997</v>
      </c>
      <c r="G60" s="17">
        <v>5084.435</v>
      </c>
      <c r="H60" s="17">
        <v>0</v>
      </c>
      <c r="I60" s="17">
        <v>0</v>
      </c>
      <c r="J60" s="18">
        <v>0</v>
      </c>
      <c r="K60" s="627"/>
      <c r="L60" s="98"/>
    </row>
    <row r="61" spans="1:12" ht="13.5" thickBot="1">
      <c r="A61" s="634"/>
      <c r="B61" s="615"/>
      <c r="C61" s="19" t="s">
        <v>16</v>
      </c>
      <c r="D61" s="611"/>
      <c r="E61" s="20">
        <f>SUM(F61:I61)</f>
        <v>0</v>
      </c>
      <c r="F61" s="21">
        <v>0</v>
      </c>
      <c r="G61" s="21">
        <v>0</v>
      </c>
      <c r="H61" s="21">
        <v>0</v>
      </c>
      <c r="I61" s="21">
        <v>0</v>
      </c>
      <c r="J61" s="22">
        <v>0</v>
      </c>
      <c r="K61" s="627"/>
      <c r="L61" s="1"/>
    </row>
    <row r="62" spans="1:12" ht="17.25" customHeight="1" thickBot="1">
      <c r="A62" s="634"/>
      <c r="B62" s="615"/>
      <c r="C62" s="23" t="s">
        <v>17</v>
      </c>
      <c r="D62" s="611"/>
      <c r="E62" s="24">
        <f>SUM(F62:I62)</f>
        <v>0</v>
      </c>
      <c r="F62" s="25">
        <v>0</v>
      </c>
      <c r="G62" s="25">
        <v>0</v>
      </c>
      <c r="H62" s="25">
        <v>0</v>
      </c>
      <c r="I62" s="25">
        <v>0</v>
      </c>
      <c r="J62" s="26">
        <v>0</v>
      </c>
      <c r="K62" s="627"/>
      <c r="L62" s="98"/>
    </row>
    <row r="63" spans="1:12" ht="12.75" customHeight="1" hidden="1">
      <c r="A63" s="624">
        <v>9</v>
      </c>
      <c r="B63" s="625"/>
      <c r="C63" s="14" t="s">
        <v>26</v>
      </c>
      <c r="D63" s="15"/>
      <c r="E63" s="16"/>
      <c r="F63" s="17">
        <v>0</v>
      </c>
      <c r="G63" s="17">
        <v>0</v>
      </c>
      <c r="H63" s="17">
        <v>0</v>
      </c>
      <c r="I63" s="17">
        <v>0</v>
      </c>
      <c r="J63" s="18"/>
      <c r="K63" s="627"/>
      <c r="L63" s="1"/>
    </row>
    <row r="64" spans="1:12" ht="12.75" customHeight="1" hidden="1">
      <c r="A64" s="624"/>
      <c r="B64" s="625"/>
      <c r="C64" s="19" t="s">
        <v>16</v>
      </c>
      <c r="D64" s="15"/>
      <c r="E64" s="20"/>
      <c r="F64" s="21">
        <v>0</v>
      </c>
      <c r="G64" s="21">
        <v>0</v>
      </c>
      <c r="H64" s="21">
        <v>0</v>
      </c>
      <c r="I64" s="21">
        <v>0</v>
      </c>
      <c r="J64" s="22">
        <v>0</v>
      </c>
      <c r="K64" s="627"/>
      <c r="L64" s="1"/>
    </row>
    <row r="65" spans="1:12" ht="12.75" customHeight="1" hidden="1">
      <c r="A65" s="624"/>
      <c r="B65" s="625"/>
      <c r="C65" s="23" t="s">
        <v>27</v>
      </c>
      <c r="D65" s="15"/>
      <c r="E65" s="24"/>
      <c r="F65" s="25">
        <v>0</v>
      </c>
      <c r="G65" s="25">
        <v>0</v>
      </c>
      <c r="H65" s="25">
        <v>0</v>
      </c>
      <c r="I65" s="25">
        <v>0</v>
      </c>
      <c r="J65" s="26">
        <v>0</v>
      </c>
      <c r="K65" s="627"/>
      <c r="L65" s="1"/>
    </row>
    <row r="66" spans="1:12" ht="12.75" customHeight="1" thickBot="1">
      <c r="A66" s="624">
        <v>14</v>
      </c>
      <c r="B66" s="639" t="s">
        <v>28</v>
      </c>
      <c r="C66" s="57" t="s">
        <v>14</v>
      </c>
      <c r="D66" s="611">
        <f>E66+E67+E68</f>
        <v>211.6</v>
      </c>
      <c r="E66" s="20">
        <f>SUM(F66:J66)</f>
        <v>211.6</v>
      </c>
      <c r="F66" s="20">
        <v>211.6</v>
      </c>
      <c r="G66" s="16">
        <v>0</v>
      </c>
      <c r="H66" s="16">
        <v>0</v>
      </c>
      <c r="I66" s="16">
        <v>0</v>
      </c>
      <c r="J66" s="16">
        <v>0</v>
      </c>
      <c r="K66" s="627"/>
      <c r="L66" s="1"/>
    </row>
    <row r="67" spans="1:12" ht="12.75" customHeight="1" thickBot="1">
      <c r="A67" s="624"/>
      <c r="B67" s="640"/>
      <c r="C67" s="19" t="s">
        <v>16</v>
      </c>
      <c r="D67" s="611"/>
      <c r="E67" s="20">
        <f>SUM(F67:I67)</f>
        <v>0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627"/>
      <c r="L67" s="1"/>
    </row>
    <row r="68" spans="1:12" ht="11.25" customHeight="1" thickBot="1">
      <c r="A68" s="624"/>
      <c r="B68" s="615"/>
      <c r="C68" s="23" t="s">
        <v>17</v>
      </c>
      <c r="D68" s="611"/>
      <c r="E68" s="24">
        <f>SUM(F68:I68)</f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627"/>
      <c r="L68" s="1"/>
    </row>
    <row r="69" spans="1:12" ht="12.75" customHeight="1" thickBot="1">
      <c r="A69" s="646">
        <v>15</v>
      </c>
      <c r="B69" s="639" t="s">
        <v>87</v>
      </c>
      <c r="C69" s="57" t="s">
        <v>14</v>
      </c>
      <c r="D69" s="611">
        <f>E69+E70+E71</f>
        <v>160000</v>
      </c>
      <c r="E69" s="20">
        <f aca="true" t="shared" si="5" ref="E69:J69">SUM(F69:J69)</f>
        <v>0</v>
      </c>
      <c r="F69" s="20">
        <f t="shared" si="5"/>
        <v>0</v>
      </c>
      <c r="G69" s="20">
        <f t="shared" si="5"/>
        <v>0</v>
      </c>
      <c r="H69" s="20">
        <f t="shared" si="5"/>
        <v>0</v>
      </c>
      <c r="I69" s="20">
        <f t="shared" si="5"/>
        <v>0</v>
      </c>
      <c r="J69" s="20">
        <f t="shared" si="5"/>
        <v>0</v>
      </c>
      <c r="K69" s="627"/>
      <c r="L69" s="1"/>
    </row>
    <row r="70" spans="1:12" ht="12.75" customHeight="1" thickBot="1">
      <c r="A70" s="647"/>
      <c r="B70" s="640"/>
      <c r="C70" s="19" t="s">
        <v>16</v>
      </c>
      <c r="D70" s="611"/>
      <c r="E70" s="20">
        <f aca="true" t="shared" si="6" ref="E70:J70">SUM(F70:I70)</f>
        <v>0</v>
      </c>
      <c r="F70" s="20">
        <f t="shared" si="6"/>
        <v>0</v>
      </c>
      <c r="G70" s="20">
        <f t="shared" si="6"/>
        <v>0</v>
      </c>
      <c r="H70" s="20">
        <f t="shared" si="6"/>
        <v>0</v>
      </c>
      <c r="I70" s="20">
        <f t="shared" si="6"/>
        <v>0</v>
      </c>
      <c r="J70" s="20">
        <f t="shared" si="6"/>
        <v>0</v>
      </c>
      <c r="K70" s="627"/>
      <c r="L70" s="1"/>
    </row>
    <row r="71" spans="1:12" ht="12.75" customHeight="1" thickBot="1">
      <c r="A71" s="634"/>
      <c r="B71" s="615"/>
      <c r="C71" s="23" t="s">
        <v>17</v>
      </c>
      <c r="D71" s="611"/>
      <c r="E71" s="24">
        <f>SUM(F71:I71)</f>
        <v>160000</v>
      </c>
      <c r="F71" s="24">
        <v>0</v>
      </c>
      <c r="G71" s="24">
        <v>98050</v>
      </c>
      <c r="H71" s="24">
        <v>30000</v>
      </c>
      <c r="I71" s="24">
        <v>31950</v>
      </c>
      <c r="J71" s="24">
        <f>SUM(K71:N71)</f>
        <v>0</v>
      </c>
      <c r="K71" s="627"/>
      <c r="L71" s="1"/>
    </row>
    <row r="72" spans="1:12" ht="12.75" customHeight="1" thickBot="1">
      <c r="A72" s="642"/>
      <c r="B72" s="643" t="s">
        <v>29</v>
      </c>
      <c r="C72" s="68" t="s">
        <v>14</v>
      </c>
      <c r="D72" s="644">
        <f>E72+E73+E74</f>
        <v>560747.98</v>
      </c>
      <c r="E72" s="58">
        <f>SUM(F72:J72)</f>
        <v>51405.04</v>
      </c>
      <c r="F72" s="58">
        <f aca="true" t="shared" si="7" ref="F72:J73">F12+F21+F24+F27+F30+F39+F42+F48+F51+F54+F57+F60+F66+F69</f>
        <v>10677.905</v>
      </c>
      <c r="G72" s="58">
        <f t="shared" si="7"/>
        <v>10462.921</v>
      </c>
      <c r="H72" s="58">
        <f t="shared" si="7"/>
        <v>20494.269000000004</v>
      </c>
      <c r="I72" s="58">
        <f t="shared" si="7"/>
        <v>4367.6449999999995</v>
      </c>
      <c r="J72" s="58">
        <f t="shared" si="7"/>
        <v>5402.3</v>
      </c>
      <c r="K72" s="627"/>
      <c r="L72" s="1"/>
    </row>
    <row r="73" spans="1:12" ht="12.75" customHeight="1" thickBot="1">
      <c r="A73" s="642"/>
      <c r="B73" s="643"/>
      <c r="C73" s="59" t="s">
        <v>16</v>
      </c>
      <c r="D73" s="644"/>
      <c r="E73" s="60">
        <f>SUM(F73:J73)</f>
        <v>268896.96</v>
      </c>
      <c r="F73" s="60">
        <f t="shared" si="7"/>
        <v>0</v>
      </c>
      <c r="G73" s="60">
        <f t="shared" si="7"/>
        <v>0</v>
      </c>
      <c r="H73" s="60">
        <f t="shared" si="7"/>
        <v>180967.45500000002</v>
      </c>
      <c r="I73" s="60">
        <f t="shared" si="7"/>
        <v>39308.805</v>
      </c>
      <c r="J73" s="60">
        <f t="shared" si="7"/>
        <v>48620.7</v>
      </c>
      <c r="K73" s="627"/>
      <c r="L73" s="1"/>
    </row>
    <row r="74" spans="1:12" ht="12.75" customHeight="1" thickBot="1">
      <c r="A74" s="642"/>
      <c r="B74" s="643"/>
      <c r="C74" s="61" t="s">
        <v>17</v>
      </c>
      <c r="D74" s="644"/>
      <c r="E74" s="62">
        <f>SUM(F74:J74)</f>
        <v>240445.97999999998</v>
      </c>
      <c r="F74" s="62">
        <f>F14+F23+F26+F29+F32+F41+F44+F50+F53+F56+F59+F62+F68+F71</f>
        <v>0</v>
      </c>
      <c r="G74" s="62">
        <f>G14+G23+G26+G29+G32+G41+G44+G50+G53+G56+G59+G62+G68+G71</f>
        <v>159901.55</v>
      </c>
      <c r="H74" s="62">
        <f>H14+H23+H26+H29+H32+H41+H44+H50+H53+H56+H59+H62+H68+H71</f>
        <v>48594.43</v>
      </c>
      <c r="I74" s="62">
        <f>I14+I23+I26+I29+I32+I41+I44+I50+I53+I56+I59+I62+I68+I71</f>
        <v>31950</v>
      </c>
      <c r="J74" s="62">
        <f>J14+J23+J26+J29+J32+J41+J44+J50+J53+J56+J59+J62+J68</f>
        <v>0</v>
      </c>
      <c r="K74" s="627"/>
      <c r="L74" s="1"/>
    </row>
    <row r="75" spans="1:12" ht="12.75" customHeight="1" thickBot="1">
      <c r="A75" s="12"/>
      <c r="B75" s="13"/>
      <c r="C75" s="23"/>
      <c r="D75" s="63"/>
      <c r="E75" s="51"/>
      <c r="F75" s="53"/>
      <c r="G75" s="53"/>
      <c r="H75" s="53"/>
      <c r="I75" s="53"/>
      <c r="J75" s="53"/>
      <c r="K75" s="627"/>
      <c r="L75" s="1"/>
    </row>
    <row r="76" spans="1:12" ht="13.5" customHeight="1" thickBot="1">
      <c r="A76" s="638" t="s">
        <v>30</v>
      </c>
      <c r="B76" s="638"/>
      <c r="C76" s="638"/>
      <c r="D76" s="638"/>
      <c r="E76" s="638"/>
      <c r="F76" s="638"/>
      <c r="G76" s="638"/>
      <c r="H76" s="638"/>
      <c r="I76" s="638"/>
      <c r="J76" s="638"/>
      <c r="K76" s="627"/>
      <c r="L76" s="1"/>
    </row>
    <row r="77" spans="1:11" s="66" customFormat="1" ht="17.25" customHeight="1" thickBot="1">
      <c r="A77" s="624"/>
      <c r="B77" s="639" t="s">
        <v>31</v>
      </c>
      <c r="C77" s="14" t="s">
        <v>14</v>
      </c>
      <c r="D77" s="641">
        <f>E77+E78+E79</f>
        <v>353282.35</v>
      </c>
      <c r="E77" s="65">
        <f aca="true" t="shared" si="8" ref="E77:E111">SUM(F77:J77)</f>
        <v>340282.85</v>
      </c>
      <c r="F77" s="65">
        <f aca="true" t="shared" si="9" ref="F77:J79">F80+F116</f>
        <v>0</v>
      </c>
      <c r="G77" s="65">
        <f t="shared" si="9"/>
        <v>14493.130000000001</v>
      </c>
      <c r="H77" s="65">
        <f t="shared" si="9"/>
        <v>170381.90999999997</v>
      </c>
      <c r="I77" s="65">
        <f t="shared" si="9"/>
        <v>90203.91</v>
      </c>
      <c r="J77" s="65">
        <f t="shared" si="9"/>
        <v>65203.899999999994</v>
      </c>
      <c r="K77" s="627"/>
    </row>
    <row r="78" spans="1:11" s="66" customFormat="1" ht="15.75" customHeight="1" thickBot="1">
      <c r="A78" s="624"/>
      <c r="B78" s="640"/>
      <c r="C78" s="19" t="s">
        <v>16</v>
      </c>
      <c r="D78" s="641"/>
      <c r="E78" s="52">
        <f t="shared" si="8"/>
        <v>1049.5</v>
      </c>
      <c r="F78" s="52">
        <f t="shared" si="9"/>
        <v>0</v>
      </c>
      <c r="G78" s="52">
        <f t="shared" si="9"/>
        <v>1049.5</v>
      </c>
      <c r="H78" s="52">
        <f t="shared" si="9"/>
        <v>0</v>
      </c>
      <c r="I78" s="52">
        <f t="shared" si="9"/>
        <v>0</v>
      </c>
      <c r="J78" s="52">
        <f t="shared" si="9"/>
        <v>0</v>
      </c>
      <c r="K78" s="627"/>
    </row>
    <row r="79" spans="1:11" s="66" customFormat="1" ht="12.75" customHeight="1" thickBot="1">
      <c r="A79" s="624"/>
      <c r="B79" s="615"/>
      <c r="C79" s="23" t="s">
        <v>17</v>
      </c>
      <c r="D79" s="641"/>
      <c r="E79" s="53">
        <f t="shared" si="8"/>
        <v>11950</v>
      </c>
      <c r="F79" s="53">
        <f t="shared" si="9"/>
        <v>0</v>
      </c>
      <c r="G79" s="53">
        <f t="shared" si="9"/>
        <v>11950</v>
      </c>
      <c r="H79" s="53">
        <f t="shared" si="9"/>
        <v>0</v>
      </c>
      <c r="I79" s="53">
        <f t="shared" si="9"/>
        <v>0</v>
      </c>
      <c r="J79" s="53">
        <f t="shared" si="9"/>
        <v>0</v>
      </c>
      <c r="K79" s="627"/>
    </row>
    <row r="80" spans="1:11" s="66" customFormat="1" ht="15" customHeight="1" thickBot="1">
      <c r="A80" s="624">
        <v>16</v>
      </c>
      <c r="B80" s="645" t="s">
        <v>32</v>
      </c>
      <c r="C80" s="14" t="s">
        <v>14</v>
      </c>
      <c r="D80" s="641">
        <f>E80+E81+E82</f>
        <v>66356.63</v>
      </c>
      <c r="E80" s="67">
        <f t="shared" si="8"/>
        <v>53357.130000000005</v>
      </c>
      <c r="F80" s="67">
        <f>F83+F86+F89+F92+F95+F98+F101+F104+F107+F110+F113</f>
        <v>0</v>
      </c>
      <c r="G80" s="67">
        <f>G83+G89+G92+G95+G98+G101+G104+G107+G110+G113+G86</f>
        <v>14493.130000000001</v>
      </c>
      <c r="H80" s="67">
        <f aca="true" t="shared" si="10" ref="G80:J82">H83+H89+H92+H95+H98+H101+H104+H107+H110+H113</f>
        <v>38864</v>
      </c>
      <c r="I80" s="67">
        <f t="shared" si="10"/>
        <v>0</v>
      </c>
      <c r="J80" s="67">
        <f t="shared" si="10"/>
        <v>0</v>
      </c>
      <c r="K80" s="627"/>
    </row>
    <row r="81" spans="1:11" s="66" customFormat="1" ht="13.5" customHeight="1">
      <c r="A81" s="624"/>
      <c r="B81" s="645"/>
      <c r="C81" s="19" t="s">
        <v>16</v>
      </c>
      <c r="D81" s="641"/>
      <c r="E81" s="67">
        <f t="shared" si="8"/>
        <v>1049.5</v>
      </c>
      <c r="F81" s="67">
        <f>F84+F87+F90+F93+F96+F99+F102+F105+F108+F111+F114</f>
        <v>0</v>
      </c>
      <c r="G81" s="67">
        <f t="shared" si="10"/>
        <v>1049.5</v>
      </c>
      <c r="H81" s="67">
        <f t="shared" si="10"/>
        <v>0</v>
      </c>
      <c r="I81" s="67">
        <f t="shared" si="10"/>
        <v>0</v>
      </c>
      <c r="J81" s="67">
        <f t="shared" si="10"/>
        <v>0</v>
      </c>
      <c r="K81" s="627"/>
    </row>
    <row r="82" spans="1:11" s="66" customFormat="1" ht="12" customHeight="1">
      <c r="A82" s="624"/>
      <c r="B82" s="645"/>
      <c r="C82" s="23" t="s">
        <v>17</v>
      </c>
      <c r="D82" s="641"/>
      <c r="E82" s="67">
        <f t="shared" si="8"/>
        <v>11950</v>
      </c>
      <c r="F82" s="67">
        <f>F85+F91+F94+F97+F100+F103+F106+F109+F112+F115</f>
        <v>0</v>
      </c>
      <c r="G82" s="67">
        <f t="shared" si="10"/>
        <v>11950</v>
      </c>
      <c r="H82" s="67">
        <f t="shared" si="10"/>
        <v>0</v>
      </c>
      <c r="I82" s="67">
        <f t="shared" si="10"/>
        <v>0</v>
      </c>
      <c r="J82" s="67">
        <f t="shared" si="10"/>
        <v>0</v>
      </c>
      <c r="K82" s="627"/>
    </row>
    <row r="83" spans="1:11" s="66" customFormat="1" ht="12" customHeight="1">
      <c r="A83" s="648"/>
      <c r="B83" s="625" t="s">
        <v>33</v>
      </c>
      <c r="C83" s="14" t="s">
        <v>14</v>
      </c>
      <c r="D83" s="649">
        <f>E83+E84+E85</f>
        <v>933.96</v>
      </c>
      <c r="E83" s="65">
        <f t="shared" si="8"/>
        <v>933.96</v>
      </c>
      <c r="F83" s="97">
        <v>0</v>
      </c>
      <c r="G83" s="104">
        <v>933.96</v>
      </c>
      <c r="H83" s="65">
        <v>0</v>
      </c>
      <c r="I83" s="65">
        <v>0</v>
      </c>
      <c r="J83" s="65">
        <v>0</v>
      </c>
      <c r="K83" s="627"/>
    </row>
    <row r="84" spans="1:11" s="66" customFormat="1" ht="11.25">
      <c r="A84" s="648"/>
      <c r="B84" s="625"/>
      <c r="C84" s="19" t="s">
        <v>16</v>
      </c>
      <c r="D84" s="649"/>
      <c r="E84" s="52">
        <f t="shared" si="8"/>
        <v>0</v>
      </c>
      <c r="F84" s="52">
        <v>0</v>
      </c>
      <c r="G84" s="52">
        <v>0</v>
      </c>
      <c r="H84" s="52">
        <v>0</v>
      </c>
      <c r="I84" s="52">
        <v>0</v>
      </c>
      <c r="J84" s="52">
        <v>0</v>
      </c>
      <c r="K84" s="627"/>
    </row>
    <row r="85" spans="1:11" s="66" customFormat="1" ht="12" thickBot="1">
      <c r="A85" s="648"/>
      <c r="B85" s="625"/>
      <c r="C85" s="23" t="s">
        <v>17</v>
      </c>
      <c r="D85" s="649"/>
      <c r="E85" s="53">
        <f t="shared" si="8"/>
        <v>0</v>
      </c>
      <c r="F85" s="53">
        <v>0</v>
      </c>
      <c r="G85" s="53">
        <v>0</v>
      </c>
      <c r="H85" s="53">
        <v>0</v>
      </c>
      <c r="I85" s="53">
        <v>0</v>
      </c>
      <c r="J85" s="53">
        <v>0</v>
      </c>
      <c r="K85" s="627"/>
    </row>
    <row r="86" spans="1:11" s="66" customFormat="1" ht="12" thickBot="1">
      <c r="A86" s="648"/>
      <c r="B86" s="625" t="s">
        <v>79</v>
      </c>
      <c r="C86" s="14" t="s">
        <v>14</v>
      </c>
      <c r="D86" s="649">
        <f>E86+E87+E88</f>
        <v>100</v>
      </c>
      <c r="E86" s="65">
        <f t="shared" si="8"/>
        <v>100</v>
      </c>
      <c r="F86" s="65">
        <v>0</v>
      </c>
      <c r="G86" s="65">
        <v>100</v>
      </c>
      <c r="H86" s="65">
        <v>0</v>
      </c>
      <c r="I86" s="65">
        <v>0</v>
      </c>
      <c r="J86" s="65">
        <v>0</v>
      </c>
      <c r="K86" s="627"/>
    </row>
    <row r="87" spans="1:11" s="66" customFormat="1" ht="12" thickBot="1">
      <c r="A87" s="648"/>
      <c r="B87" s="625"/>
      <c r="C87" s="19" t="s">
        <v>16</v>
      </c>
      <c r="D87" s="649"/>
      <c r="E87" s="52">
        <f t="shared" si="8"/>
        <v>0</v>
      </c>
      <c r="F87" s="52">
        <v>0</v>
      </c>
      <c r="G87" s="52">
        <v>0</v>
      </c>
      <c r="H87" s="52">
        <v>0</v>
      </c>
      <c r="I87" s="52">
        <v>0</v>
      </c>
      <c r="J87" s="52">
        <v>0</v>
      </c>
      <c r="K87" s="627"/>
    </row>
    <row r="88" spans="1:11" s="66" customFormat="1" ht="12" thickBot="1">
      <c r="A88" s="648"/>
      <c r="B88" s="625"/>
      <c r="C88" s="23" t="s">
        <v>17</v>
      </c>
      <c r="D88" s="649"/>
      <c r="E88" s="53">
        <f t="shared" si="8"/>
        <v>0</v>
      </c>
      <c r="F88" s="53">
        <v>0</v>
      </c>
      <c r="G88" s="53">
        <v>0</v>
      </c>
      <c r="H88" s="53">
        <v>0</v>
      </c>
      <c r="I88" s="53">
        <v>0</v>
      </c>
      <c r="J88" s="53">
        <v>0</v>
      </c>
      <c r="K88" s="627"/>
    </row>
    <row r="89" spans="1:11" s="66" customFormat="1" ht="12" customHeight="1" thickBot="1">
      <c r="A89" s="624"/>
      <c r="B89" s="625" t="s">
        <v>34</v>
      </c>
      <c r="C89" s="14" t="s">
        <v>14</v>
      </c>
      <c r="D89" s="650">
        <f>E89+E90+E91</f>
        <v>14508.67</v>
      </c>
      <c r="E89" s="65">
        <f t="shared" si="8"/>
        <v>13459.17</v>
      </c>
      <c r="F89" s="65">
        <v>0</v>
      </c>
      <c r="G89" s="65">
        <f>11489.7+1969.47</f>
        <v>13459.17</v>
      </c>
      <c r="H89" s="65">
        <v>0</v>
      </c>
      <c r="I89" s="65">
        <v>0</v>
      </c>
      <c r="J89" s="65">
        <v>0</v>
      </c>
      <c r="K89" s="627"/>
    </row>
    <row r="90" spans="1:11" s="66" customFormat="1" ht="11.25">
      <c r="A90" s="624"/>
      <c r="B90" s="625"/>
      <c r="C90" s="19" t="s">
        <v>16</v>
      </c>
      <c r="D90" s="650"/>
      <c r="E90" s="52">
        <f t="shared" si="8"/>
        <v>1049.5</v>
      </c>
      <c r="F90" s="52">
        <v>0</v>
      </c>
      <c r="G90" s="52">
        <v>1049.5</v>
      </c>
      <c r="H90" s="52">
        <v>0</v>
      </c>
      <c r="I90" s="52">
        <v>0</v>
      </c>
      <c r="J90" s="52">
        <v>0</v>
      </c>
      <c r="K90" s="627"/>
    </row>
    <row r="91" spans="1:11" s="66" customFormat="1" ht="11.25">
      <c r="A91" s="624"/>
      <c r="B91" s="625"/>
      <c r="C91" s="23" t="s">
        <v>17</v>
      </c>
      <c r="D91" s="650"/>
      <c r="E91" s="52">
        <f t="shared" si="8"/>
        <v>0</v>
      </c>
      <c r="F91" s="53">
        <v>0</v>
      </c>
      <c r="G91" s="53">
        <v>0</v>
      </c>
      <c r="H91" s="53">
        <v>0</v>
      </c>
      <c r="I91" s="53">
        <v>0</v>
      </c>
      <c r="J91" s="53">
        <v>0</v>
      </c>
      <c r="K91" s="627"/>
    </row>
    <row r="92" spans="1:11" s="66" customFormat="1" ht="12" customHeight="1">
      <c r="A92" s="624"/>
      <c r="B92" s="625" t="s">
        <v>90</v>
      </c>
      <c r="C92" s="14" t="s">
        <v>14</v>
      </c>
      <c r="D92" s="649">
        <f>E92+E93+E94</f>
        <v>11950</v>
      </c>
      <c r="E92" s="65">
        <f t="shared" si="8"/>
        <v>0</v>
      </c>
      <c r="F92" s="65">
        <v>0</v>
      </c>
      <c r="G92" s="65">
        <v>0</v>
      </c>
      <c r="H92" s="65">
        <v>0</v>
      </c>
      <c r="I92" s="65">
        <v>0</v>
      </c>
      <c r="J92" s="65">
        <v>0</v>
      </c>
      <c r="K92" s="627"/>
    </row>
    <row r="93" spans="1:11" s="66" customFormat="1" ht="11.25">
      <c r="A93" s="624"/>
      <c r="B93" s="625"/>
      <c r="C93" s="19" t="s">
        <v>16</v>
      </c>
      <c r="D93" s="649"/>
      <c r="E93" s="52">
        <f t="shared" si="8"/>
        <v>0</v>
      </c>
      <c r="F93" s="52">
        <v>0</v>
      </c>
      <c r="G93" s="52">
        <v>0</v>
      </c>
      <c r="H93" s="52">
        <v>0</v>
      </c>
      <c r="I93" s="52">
        <v>0</v>
      </c>
      <c r="J93" s="52">
        <v>0</v>
      </c>
      <c r="K93" s="627"/>
    </row>
    <row r="94" spans="1:11" s="66" customFormat="1" ht="11.25">
      <c r="A94" s="624"/>
      <c r="B94" s="625"/>
      <c r="C94" s="23" t="s">
        <v>17</v>
      </c>
      <c r="D94" s="649"/>
      <c r="E94" s="53">
        <f t="shared" si="8"/>
        <v>11950</v>
      </c>
      <c r="F94" s="53">
        <v>0</v>
      </c>
      <c r="G94" s="53">
        <v>11950</v>
      </c>
      <c r="H94" s="53">
        <v>0</v>
      </c>
      <c r="I94" s="53">
        <v>0</v>
      </c>
      <c r="J94" s="53">
        <v>0</v>
      </c>
      <c r="K94" s="627"/>
    </row>
    <row r="95" spans="1:11" s="66" customFormat="1" ht="12" customHeight="1">
      <c r="A95" s="624"/>
      <c r="B95" s="625" t="s">
        <v>35</v>
      </c>
      <c r="C95" s="14" t="s">
        <v>14</v>
      </c>
      <c r="D95" s="649">
        <f>E95+E96+E97</f>
        <v>3036</v>
      </c>
      <c r="E95" s="52">
        <f t="shared" si="8"/>
        <v>3036</v>
      </c>
      <c r="F95" s="65">
        <v>0</v>
      </c>
      <c r="G95" s="65">
        <v>0</v>
      </c>
      <c r="H95" s="65">
        <v>3036</v>
      </c>
      <c r="I95" s="65">
        <v>0</v>
      </c>
      <c r="J95" s="65">
        <v>0</v>
      </c>
      <c r="K95" s="627"/>
    </row>
    <row r="96" spans="1:11" s="66" customFormat="1" ht="11.25">
      <c r="A96" s="624"/>
      <c r="B96" s="625"/>
      <c r="C96" s="19" t="s">
        <v>16</v>
      </c>
      <c r="D96" s="649"/>
      <c r="E96" s="52">
        <f t="shared" si="8"/>
        <v>0</v>
      </c>
      <c r="F96" s="52">
        <v>0</v>
      </c>
      <c r="G96" s="52">
        <v>0</v>
      </c>
      <c r="H96" s="52">
        <v>0</v>
      </c>
      <c r="I96" s="52">
        <v>0</v>
      </c>
      <c r="J96" s="52">
        <v>0</v>
      </c>
      <c r="K96" s="627"/>
    </row>
    <row r="97" spans="1:11" s="66" customFormat="1" ht="11.25">
      <c r="A97" s="624"/>
      <c r="B97" s="625"/>
      <c r="C97" s="23" t="s">
        <v>17</v>
      </c>
      <c r="D97" s="649"/>
      <c r="E97" s="52">
        <f t="shared" si="8"/>
        <v>0</v>
      </c>
      <c r="F97" s="53">
        <v>0</v>
      </c>
      <c r="G97" s="53">
        <v>0</v>
      </c>
      <c r="H97" s="53">
        <v>0</v>
      </c>
      <c r="I97" s="53">
        <v>0</v>
      </c>
      <c r="J97" s="53">
        <v>0</v>
      </c>
      <c r="K97" s="627"/>
    </row>
    <row r="98" spans="1:11" s="66" customFormat="1" ht="12" customHeight="1">
      <c r="A98" s="624"/>
      <c r="B98" s="625" t="s">
        <v>36</v>
      </c>
      <c r="C98" s="14" t="s">
        <v>14</v>
      </c>
      <c r="D98" s="649">
        <f>E98+E99+E100</f>
        <v>7858</v>
      </c>
      <c r="E98" s="65">
        <f t="shared" si="8"/>
        <v>7858</v>
      </c>
      <c r="F98" s="65">
        <v>0</v>
      </c>
      <c r="G98" s="65">
        <v>0</v>
      </c>
      <c r="H98" s="65">
        <v>7858</v>
      </c>
      <c r="I98" s="65">
        <v>0</v>
      </c>
      <c r="J98" s="65">
        <v>0</v>
      </c>
      <c r="K98" s="627"/>
    </row>
    <row r="99" spans="1:11" s="66" customFormat="1" ht="11.25">
      <c r="A99" s="624"/>
      <c r="B99" s="625"/>
      <c r="C99" s="19" t="s">
        <v>16</v>
      </c>
      <c r="D99" s="649"/>
      <c r="E99" s="52">
        <f t="shared" si="8"/>
        <v>0</v>
      </c>
      <c r="F99" s="52">
        <v>0</v>
      </c>
      <c r="G99" s="52">
        <v>0</v>
      </c>
      <c r="H99" s="52">
        <v>0</v>
      </c>
      <c r="I99" s="52">
        <v>0</v>
      </c>
      <c r="J99" s="52">
        <v>0</v>
      </c>
      <c r="K99" s="627"/>
    </row>
    <row r="100" spans="1:11" s="66" customFormat="1" ht="11.25">
      <c r="A100" s="624"/>
      <c r="B100" s="625"/>
      <c r="C100" s="23" t="s">
        <v>17</v>
      </c>
      <c r="D100" s="649"/>
      <c r="E100" s="53">
        <f t="shared" si="8"/>
        <v>0</v>
      </c>
      <c r="F100" s="53">
        <v>0</v>
      </c>
      <c r="G100" s="53">
        <v>0</v>
      </c>
      <c r="H100" s="53">
        <v>0</v>
      </c>
      <c r="I100" s="53">
        <v>0</v>
      </c>
      <c r="J100" s="53">
        <v>0</v>
      </c>
      <c r="K100" s="627"/>
    </row>
    <row r="101" spans="1:11" s="66" customFormat="1" ht="12" customHeight="1">
      <c r="A101" s="624"/>
      <c r="B101" s="625" t="s">
        <v>37</v>
      </c>
      <c r="C101" s="14" t="s">
        <v>14</v>
      </c>
      <c r="D101" s="649">
        <v>6024</v>
      </c>
      <c r="E101" s="65">
        <f t="shared" si="8"/>
        <v>6024</v>
      </c>
      <c r="F101" s="65">
        <v>0</v>
      </c>
      <c r="G101" s="65">
        <v>0</v>
      </c>
      <c r="H101" s="65">
        <v>6024</v>
      </c>
      <c r="I101" s="65">
        <v>0</v>
      </c>
      <c r="J101" s="65">
        <v>0</v>
      </c>
      <c r="K101" s="627"/>
    </row>
    <row r="102" spans="1:12" s="66" customFormat="1" ht="11.25">
      <c r="A102" s="624"/>
      <c r="B102" s="625"/>
      <c r="C102" s="19" t="s">
        <v>16</v>
      </c>
      <c r="D102" s="649"/>
      <c r="E102" s="52">
        <f t="shared" si="8"/>
        <v>0</v>
      </c>
      <c r="F102" s="52">
        <v>0</v>
      </c>
      <c r="G102" s="52">
        <v>0</v>
      </c>
      <c r="H102" s="52">
        <v>0</v>
      </c>
      <c r="I102" s="52">
        <v>0</v>
      </c>
      <c r="J102" s="52">
        <v>0</v>
      </c>
      <c r="K102" s="627"/>
      <c r="L102" s="105"/>
    </row>
    <row r="103" spans="1:11" s="66" customFormat="1" ht="11.25">
      <c r="A103" s="624"/>
      <c r="B103" s="625"/>
      <c r="C103" s="23" t="s">
        <v>17</v>
      </c>
      <c r="D103" s="649"/>
      <c r="E103" s="53">
        <f t="shared" si="8"/>
        <v>0</v>
      </c>
      <c r="F103" s="53">
        <v>0</v>
      </c>
      <c r="G103" s="53">
        <v>0</v>
      </c>
      <c r="H103" s="53">
        <v>0</v>
      </c>
      <c r="I103" s="53">
        <v>0</v>
      </c>
      <c r="J103" s="53">
        <v>0</v>
      </c>
      <c r="K103" s="627"/>
    </row>
    <row r="104" spans="1:11" s="66" customFormat="1" ht="12" customHeight="1">
      <c r="A104" s="624"/>
      <c r="B104" s="625" t="s">
        <v>38</v>
      </c>
      <c r="C104" s="14" t="s">
        <v>14</v>
      </c>
      <c r="D104" s="649">
        <f>E104+E105+E106</f>
        <v>13183</v>
      </c>
      <c r="E104" s="65">
        <f t="shared" si="8"/>
        <v>13183</v>
      </c>
      <c r="F104" s="65">
        <v>0</v>
      </c>
      <c r="G104" s="65">
        <v>0</v>
      </c>
      <c r="H104" s="65">
        <v>13183</v>
      </c>
      <c r="I104" s="65">
        <v>0</v>
      </c>
      <c r="J104" s="65">
        <v>0</v>
      </c>
      <c r="K104" s="627"/>
    </row>
    <row r="105" spans="1:11" s="66" customFormat="1" ht="11.25">
      <c r="A105" s="624"/>
      <c r="B105" s="625"/>
      <c r="C105" s="19" t="s">
        <v>16</v>
      </c>
      <c r="D105" s="649"/>
      <c r="E105" s="52">
        <f t="shared" si="8"/>
        <v>0</v>
      </c>
      <c r="F105" s="52">
        <v>0</v>
      </c>
      <c r="G105" s="52">
        <v>0</v>
      </c>
      <c r="H105" s="52">
        <v>0</v>
      </c>
      <c r="I105" s="52">
        <v>0</v>
      </c>
      <c r="J105" s="52">
        <v>0</v>
      </c>
      <c r="K105" s="627"/>
    </row>
    <row r="106" spans="1:11" s="66" customFormat="1" ht="11.25">
      <c r="A106" s="624"/>
      <c r="B106" s="625"/>
      <c r="C106" s="23" t="s">
        <v>17</v>
      </c>
      <c r="D106" s="649"/>
      <c r="E106" s="53">
        <f t="shared" si="8"/>
        <v>0</v>
      </c>
      <c r="F106" s="53">
        <v>0</v>
      </c>
      <c r="G106" s="53">
        <v>0</v>
      </c>
      <c r="H106" s="53">
        <v>0</v>
      </c>
      <c r="I106" s="53">
        <v>0</v>
      </c>
      <c r="J106" s="53">
        <v>0</v>
      </c>
      <c r="K106" s="627"/>
    </row>
    <row r="107" spans="1:11" s="66" customFormat="1" ht="12" customHeight="1">
      <c r="A107" s="624"/>
      <c r="B107" s="625" t="s">
        <v>39</v>
      </c>
      <c r="C107" s="14" t="s">
        <v>14</v>
      </c>
      <c r="D107" s="649">
        <f>E107+E108+E109</f>
        <v>5581</v>
      </c>
      <c r="E107" s="65">
        <f t="shared" si="8"/>
        <v>5581</v>
      </c>
      <c r="F107" s="65">
        <v>0</v>
      </c>
      <c r="G107" s="65">
        <v>0</v>
      </c>
      <c r="H107" s="65">
        <v>5581</v>
      </c>
      <c r="I107" s="65">
        <v>0</v>
      </c>
      <c r="J107" s="65">
        <v>0</v>
      </c>
      <c r="K107" s="627"/>
    </row>
    <row r="108" spans="1:11" s="66" customFormat="1" ht="11.25">
      <c r="A108" s="624"/>
      <c r="B108" s="625"/>
      <c r="C108" s="19" t="s">
        <v>16</v>
      </c>
      <c r="D108" s="649"/>
      <c r="E108" s="52">
        <f t="shared" si="8"/>
        <v>0</v>
      </c>
      <c r="F108" s="52">
        <v>0</v>
      </c>
      <c r="G108" s="52">
        <v>0</v>
      </c>
      <c r="H108" s="52">
        <v>0</v>
      </c>
      <c r="I108" s="52">
        <v>0</v>
      </c>
      <c r="J108" s="52">
        <v>0</v>
      </c>
      <c r="K108" s="627"/>
    </row>
    <row r="109" spans="1:11" s="66" customFormat="1" ht="11.25">
      <c r="A109" s="624"/>
      <c r="B109" s="625"/>
      <c r="C109" s="23" t="s">
        <v>17</v>
      </c>
      <c r="D109" s="649"/>
      <c r="E109" s="53">
        <f t="shared" si="8"/>
        <v>0</v>
      </c>
      <c r="F109" s="53">
        <v>0</v>
      </c>
      <c r="G109" s="53">
        <v>0</v>
      </c>
      <c r="H109" s="53">
        <v>0</v>
      </c>
      <c r="I109" s="53">
        <v>0</v>
      </c>
      <c r="J109" s="53">
        <v>0</v>
      </c>
      <c r="K109" s="627"/>
    </row>
    <row r="110" spans="1:11" s="66" customFormat="1" ht="12" customHeight="1">
      <c r="A110" s="624"/>
      <c r="B110" s="625" t="s">
        <v>40</v>
      </c>
      <c r="C110" s="14" t="s">
        <v>14</v>
      </c>
      <c r="D110" s="649">
        <f>E110+E111+E112</f>
        <v>1571</v>
      </c>
      <c r="E110" s="65">
        <f t="shared" si="8"/>
        <v>1571</v>
      </c>
      <c r="F110" s="65">
        <v>0</v>
      </c>
      <c r="G110" s="65">
        <v>0</v>
      </c>
      <c r="H110" s="65">
        <v>1571</v>
      </c>
      <c r="I110" s="65">
        <v>0</v>
      </c>
      <c r="J110" s="65">
        <v>0</v>
      </c>
      <c r="K110" s="627"/>
    </row>
    <row r="111" spans="1:11" s="66" customFormat="1" ht="11.25">
      <c r="A111" s="624"/>
      <c r="B111" s="625"/>
      <c r="C111" s="19" t="s">
        <v>16</v>
      </c>
      <c r="D111" s="649"/>
      <c r="E111" s="52">
        <f t="shared" si="8"/>
        <v>0</v>
      </c>
      <c r="F111" s="52">
        <v>0</v>
      </c>
      <c r="G111" s="52"/>
      <c r="H111" s="52">
        <v>0</v>
      </c>
      <c r="I111" s="52">
        <v>0</v>
      </c>
      <c r="J111" s="52">
        <v>0</v>
      </c>
      <c r="K111" s="627"/>
    </row>
    <row r="112" spans="1:11" s="66" customFormat="1" ht="11.25">
      <c r="A112" s="624"/>
      <c r="B112" s="625"/>
      <c r="C112" s="23" t="s">
        <v>17</v>
      </c>
      <c r="D112" s="649"/>
      <c r="E112" s="53">
        <f aca="true" t="shared" si="11" ref="E112:E130">SUM(F112:J112)</f>
        <v>0</v>
      </c>
      <c r="F112" s="53">
        <v>0</v>
      </c>
      <c r="G112" s="53">
        <v>0</v>
      </c>
      <c r="H112" s="53">
        <v>0</v>
      </c>
      <c r="I112" s="53">
        <v>0</v>
      </c>
      <c r="J112" s="53">
        <v>0</v>
      </c>
      <c r="K112" s="627"/>
    </row>
    <row r="113" spans="1:11" s="66" customFormat="1" ht="12" customHeight="1">
      <c r="A113" s="624"/>
      <c r="B113" s="625" t="s">
        <v>41</v>
      </c>
      <c r="C113" s="14" t="s">
        <v>14</v>
      </c>
      <c r="D113" s="649">
        <f>E113+E114+E115</f>
        <v>1611</v>
      </c>
      <c r="E113" s="65">
        <f t="shared" si="11"/>
        <v>1611</v>
      </c>
      <c r="F113" s="65">
        <v>0</v>
      </c>
      <c r="G113" s="65">
        <v>0</v>
      </c>
      <c r="H113" s="65">
        <v>1611</v>
      </c>
      <c r="I113" s="65">
        <v>0</v>
      </c>
      <c r="J113" s="65">
        <v>0</v>
      </c>
      <c r="K113" s="627"/>
    </row>
    <row r="114" spans="1:11" s="66" customFormat="1" ht="11.25">
      <c r="A114" s="624"/>
      <c r="B114" s="625"/>
      <c r="C114" s="19" t="s">
        <v>16</v>
      </c>
      <c r="D114" s="649"/>
      <c r="E114" s="52">
        <f t="shared" si="11"/>
        <v>0</v>
      </c>
      <c r="F114" s="52">
        <v>0</v>
      </c>
      <c r="G114" s="52">
        <v>0</v>
      </c>
      <c r="H114" s="52">
        <v>0</v>
      </c>
      <c r="I114" s="52">
        <v>0</v>
      </c>
      <c r="J114" s="52">
        <v>0</v>
      </c>
      <c r="K114" s="627"/>
    </row>
    <row r="115" spans="1:11" s="66" customFormat="1" ht="11.25">
      <c r="A115" s="624"/>
      <c r="B115" s="625"/>
      <c r="C115" s="23" t="s">
        <v>17</v>
      </c>
      <c r="D115" s="649"/>
      <c r="E115" s="53">
        <f t="shared" si="11"/>
        <v>0</v>
      </c>
      <c r="F115" s="53">
        <v>0</v>
      </c>
      <c r="G115" s="53">
        <v>0</v>
      </c>
      <c r="H115" s="53">
        <v>0</v>
      </c>
      <c r="I115" s="53">
        <v>0</v>
      </c>
      <c r="J115" s="53">
        <v>0</v>
      </c>
      <c r="K115" s="627"/>
    </row>
    <row r="116" spans="1:11" s="66" customFormat="1" ht="13.5" customHeight="1">
      <c r="A116" s="624">
        <v>17</v>
      </c>
      <c r="B116" s="645" t="s">
        <v>42</v>
      </c>
      <c r="C116" s="14" t="s">
        <v>14</v>
      </c>
      <c r="D116" s="651">
        <v>286926</v>
      </c>
      <c r="E116" s="67">
        <f t="shared" si="11"/>
        <v>286925.72</v>
      </c>
      <c r="F116" s="67">
        <f aca="true" t="shared" si="12" ref="F116:J118">F119+F122+F125+F128</f>
        <v>0</v>
      </c>
      <c r="G116" s="67">
        <v>0</v>
      </c>
      <c r="H116" s="67">
        <f t="shared" si="12"/>
        <v>131517.90999999997</v>
      </c>
      <c r="I116" s="67">
        <f t="shared" si="12"/>
        <v>90203.91</v>
      </c>
      <c r="J116" s="67">
        <f t="shared" si="12"/>
        <v>65203.899999999994</v>
      </c>
      <c r="K116" s="627"/>
    </row>
    <row r="117" spans="1:11" s="66" customFormat="1" ht="9.75" customHeight="1">
      <c r="A117" s="624"/>
      <c r="B117" s="645"/>
      <c r="C117" s="19" t="s">
        <v>16</v>
      </c>
      <c r="D117" s="651"/>
      <c r="E117" s="67">
        <f t="shared" si="11"/>
        <v>0</v>
      </c>
      <c r="F117" s="67">
        <f t="shared" si="12"/>
        <v>0</v>
      </c>
      <c r="G117" s="67">
        <f t="shared" si="12"/>
        <v>0</v>
      </c>
      <c r="H117" s="67">
        <f t="shared" si="12"/>
        <v>0</v>
      </c>
      <c r="I117" s="67">
        <f t="shared" si="12"/>
        <v>0</v>
      </c>
      <c r="J117" s="67">
        <f t="shared" si="12"/>
        <v>0</v>
      </c>
      <c r="K117" s="627"/>
    </row>
    <row r="118" spans="1:11" s="66" customFormat="1" ht="12" customHeight="1">
      <c r="A118" s="624"/>
      <c r="B118" s="645"/>
      <c r="C118" s="23" t="s">
        <v>17</v>
      </c>
      <c r="D118" s="651"/>
      <c r="E118" s="67">
        <f t="shared" si="11"/>
        <v>0</v>
      </c>
      <c r="F118" s="67">
        <f t="shared" si="12"/>
        <v>0</v>
      </c>
      <c r="G118" s="67">
        <f t="shared" si="12"/>
        <v>0</v>
      </c>
      <c r="H118" s="67">
        <f t="shared" si="12"/>
        <v>0</v>
      </c>
      <c r="I118" s="67">
        <f t="shared" si="12"/>
        <v>0</v>
      </c>
      <c r="J118" s="67">
        <f t="shared" si="12"/>
        <v>0</v>
      </c>
      <c r="K118" s="627"/>
    </row>
    <row r="119" spans="1:11" s="66" customFormat="1" ht="12" customHeight="1">
      <c r="A119" s="624"/>
      <c r="B119" s="625" t="s">
        <v>43</v>
      </c>
      <c r="C119" s="14" t="s">
        <v>14</v>
      </c>
      <c r="D119" s="649">
        <f>E119+E120+E121</f>
        <v>912</v>
      </c>
      <c r="E119" s="65">
        <f t="shared" si="11"/>
        <v>912</v>
      </c>
      <c r="F119" s="65">
        <v>0</v>
      </c>
      <c r="G119" s="65">
        <v>0</v>
      </c>
      <c r="H119" s="65">
        <v>912</v>
      </c>
      <c r="I119" s="65">
        <v>0</v>
      </c>
      <c r="J119" s="65">
        <v>0</v>
      </c>
      <c r="K119" s="627"/>
    </row>
    <row r="120" spans="1:11" s="66" customFormat="1" ht="11.25">
      <c r="A120" s="624"/>
      <c r="B120" s="625"/>
      <c r="C120" s="19" t="s">
        <v>16</v>
      </c>
      <c r="D120" s="649"/>
      <c r="E120" s="52">
        <f t="shared" si="11"/>
        <v>0</v>
      </c>
      <c r="F120" s="52">
        <v>0</v>
      </c>
      <c r="G120" s="52">
        <v>0</v>
      </c>
      <c r="H120" s="52">
        <v>0</v>
      </c>
      <c r="I120" s="52">
        <v>0</v>
      </c>
      <c r="J120" s="52">
        <v>0</v>
      </c>
      <c r="K120" s="627"/>
    </row>
    <row r="121" spans="1:11" s="66" customFormat="1" ht="24" customHeight="1">
      <c r="A121" s="624"/>
      <c r="B121" s="625"/>
      <c r="C121" s="23" t="s">
        <v>17</v>
      </c>
      <c r="D121" s="649"/>
      <c r="E121" s="53">
        <f t="shared" si="11"/>
        <v>0</v>
      </c>
      <c r="F121" s="53">
        <v>0</v>
      </c>
      <c r="G121" s="53">
        <v>0</v>
      </c>
      <c r="H121" s="53">
        <v>0</v>
      </c>
      <c r="I121" s="53">
        <v>0</v>
      </c>
      <c r="J121" s="53">
        <v>0</v>
      </c>
      <c r="K121" s="627"/>
    </row>
    <row r="122" spans="1:11" s="66" customFormat="1" ht="12" customHeight="1">
      <c r="A122" s="624"/>
      <c r="B122" s="625" t="s">
        <v>44</v>
      </c>
      <c r="C122" s="14" t="s">
        <v>14</v>
      </c>
      <c r="D122" s="649">
        <f>E122+E123+E124</f>
        <v>15402</v>
      </c>
      <c r="E122" s="65">
        <f t="shared" si="11"/>
        <v>15402</v>
      </c>
      <c r="F122" s="65">
        <v>0</v>
      </c>
      <c r="G122" s="65">
        <v>0</v>
      </c>
      <c r="H122" s="65">
        <v>15402</v>
      </c>
      <c r="I122" s="65">
        <v>0</v>
      </c>
      <c r="J122" s="65">
        <v>0</v>
      </c>
      <c r="K122" s="627"/>
    </row>
    <row r="123" spans="1:11" s="66" customFormat="1" ht="11.25">
      <c r="A123" s="624"/>
      <c r="B123" s="625"/>
      <c r="C123" s="19" t="s">
        <v>16</v>
      </c>
      <c r="D123" s="649"/>
      <c r="E123" s="52">
        <f t="shared" si="11"/>
        <v>0</v>
      </c>
      <c r="F123" s="52">
        <v>0</v>
      </c>
      <c r="G123" s="52">
        <v>0</v>
      </c>
      <c r="H123" s="52">
        <v>0</v>
      </c>
      <c r="I123" s="52">
        <v>0</v>
      </c>
      <c r="J123" s="52">
        <v>0</v>
      </c>
      <c r="K123" s="627"/>
    </row>
    <row r="124" spans="1:11" s="66" customFormat="1" ht="11.25">
      <c r="A124" s="624"/>
      <c r="B124" s="625"/>
      <c r="C124" s="23" t="s">
        <v>17</v>
      </c>
      <c r="D124" s="649"/>
      <c r="E124" s="53">
        <f t="shared" si="11"/>
        <v>0</v>
      </c>
      <c r="F124" s="53">
        <v>0</v>
      </c>
      <c r="G124" s="53">
        <v>0</v>
      </c>
      <c r="H124" s="53">
        <v>0</v>
      </c>
      <c r="I124" s="53">
        <v>0</v>
      </c>
      <c r="J124" s="53">
        <v>0</v>
      </c>
      <c r="K124" s="627"/>
    </row>
    <row r="125" spans="1:11" s="66" customFormat="1" ht="12" customHeight="1">
      <c r="A125" s="624"/>
      <c r="B125" s="625" t="s">
        <v>45</v>
      </c>
      <c r="C125" s="14" t="s">
        <v>14</v>
      </c>
      <c r="D125" s="649">
        <f>E125+E126+E127</f>
        <v>135465.80999999997</v>
      </c>
      <c r="E125" s="65">
        <f t="shared" si="11"/>
        <v>135465.80999999997</v>
      </c>
      <c r="F125" s="65">
        <v>0</v>
      </c>
      <c r="G125" s="65">
        <v>0</v>
      </c>
      <c r="H125" s="65">
        <f>45155.27+25000</f>
        <v>70155.26999999999</v>
      </c>
      <c r="I125" s="65">
        <v>45155.27</v>
      </c>
      <c r="J125" s="65">
        <v>20155.27</v>
      </c>
      <c r="K125" s="627"/>
    </row>
    <row r="126" spans="1:11" s="66" customFormat="1" ht="11.25">
      <c r="A126" s="624"/>
      <c r="B126" s="625"/>
      <c r="C126" s="19" t="s">
        <v>16</v>
      </c>
      <c r="D126" s="649"/>
      <c r="E126" s="52">
        <f t="shared" si="11"/>
        <v>0</v>
      </c>
      <c r="F126" s="52">
        <v>0</v>
      </c>
      <c r="G126" s="52">
        <v>0</v>
      </c>
      <c r="H126" s="52">
        <v>0</v>
      </c>
      <c r="I126" s="52">
        <v>0</v>
      </c>
      <c r="J126" s="52">
        <v>0</v>
      </c>
      <c r="K126" s="627"/>
    </row>
    <row r="127" spans="1:11" s="66" customFormat="1" ht="11.25">
      <c r="A127" s="624"/>
      <c r="B127" s="625"/>
      <c r="C127" s="23" t="s">
        <v>17</v>
      </c>
      <c r="D127" s="649"/>
      <c r="E127" s="53">
        <f t="shared" si="11"/>
        <v>0</v>
      </c>
      <c r="F127" s="53">
        <v>0</v>
      </c>
      <c r="G127" s="53">
        <v>0</v>
      </c>
      <c r="H127" s="53">
        <v>0</v>
      </c>
      <c r="I127" s="53">
        <v>0</v>
      </c>
      <c r="J127" s="53">
        <v>0</v>
      </c>
      <c r="K127" s="627"/>
    </row>
    <row r="128" spans="1:11" s="66" customFormat="1" ht="12" customHeight="1">
      <c r="A128" s="624"/>
      <c r="B128" s="625" t="s">
        <v>46</v>
      </c>
      <c r="C128" s="14" t="s">
        <v>14</v>
      </c>
      <c r="D128" s="649">
        <f>E128+E129+E130</f>
        <v>135145.91</v>
      </c>
      <c r="E128" s="65">
        <f t="shared" si="11"/>
        <v>135145.91</v>
      </c>
      <c r="F128" s="65">
        <v>0</v>
      </c>
      <c r="G128" s="65">
        <v>0</v>
      </c>
      <c r="H128" s="65">
        <v>45048.64</v>
      </c>
      <c r="I128" s="65">
        <v>45048.64</v>
      </c>
      <c r="J128" s="65">
        <v>45048.63</v>
      </c>
      <c r="K128" s="627"/>
    </row>
    <row r="129" spans="1:11" s="66" customFormat="1" ht="11.25">
      <c r="A129" s="624"/>
      <c r="B129" s="625"/>
      <c r="C129" s="19" t="s">
        <v>16</v>
      </c>
      <c r="D129" s="649"/>
      <c r="E129" s="52">
        <f t="shared" si="11"/>
        <v>0</v>
      </c>
      <c r="F129" s="52">
        <v>0</v>
      </c>
      <c r="G129" s="52">
        <v>0</v>
      </c>
      <c r="H129" s="52">
        <v>0</v>
      </c>
      <c r="I129" s="52">
        <v>0</v>
      </c>
      <c r="J129" s="52">
        <v>0</v>
      </c>
      <c r="K129" s="627"/>
    </row>
    <row r="130" spans="1:11" s="66" customFormat="1" ht="11.25">
      <c r="A130" s="624"/>
      <c r="B130" s="625"/>
      <c r="C130" s="23" t="s">
        <v>17</v>
      </c>
      <c r="D130" s="649"/>
      <c r="E130" s="53">
        <f t="shared" si="11"/>
        <v>0</v>
      </c>
      <c r="F130" s="53">
        <v>0</v>
      </c>
      <c r="G130" s="53">
        <v>0</v>
      </c>
      <c r="H130" s="53">
        <v>0</v>
      </c>
      <c r="I130" s="53">
        <v>0</v>
      </c>
      <c r="J130" s="53">
        <v>0</v>
      </c>
      <c r="K130" s="627"/>
    </row>
    <row r="131" spans="1:11" s="66" customFormat="1" ht="12" customHeight="1">
      <c r="A131" s="642"/>
      <c r="B131" s="643" t="s">
        <v>47</v>
      </c>
      <c r="C131" s="68" t="s">
        <v>14</v>
      </c>
      <c r="D131" s="644">
        <f aca="true" t="shared" si="13" ref="D131:J131">D77</f>
        <v>353282.35</v>
      </c>
      <c r="E131" s="58">
        <f t="shared" si="13"/>
        <v>340282.85</v>
      </c>
      <c r="F131" s="58">
        <f t="shared" si="13"/>
        <v>0</v>
      </c>
      <c r="G131" s="58">
        <f t="shared" si="13"/>
        <v>14493.130000000001</v>
      </c>
      <c r="H131" s="58">
        <f t="shared" si="13"/>
        <v>170381.90999999997</v>
      </c>
      <c r="I131" s="58">
        <f t="shared" si="13"/>
        <v>90203.91</v>
      </c>
      <c r="J131" s="58">
        <f t="shared" si="13"/>
        <v>65203.899999999994</v>
      </c>
      <c r="K131" s="627"/>
    </row>
    <row r="132" spans="1:11" s="66" customFormat="1" ht="11.25">
      <c r="A132" s="642"/>
      <c r="B132" s="643"/>
      <c r="C132" s="59" t="s">
        <v>16</v>
      </c>
      <c r="D132" s="644"/>
      <c r="E132" s="60">
        <f aca="true" t="shared" si="14" ref="E132:J133">E78</f>
        <v>1049.5</v>
      </c>
      <c r="F132" s="60">
        <f t="shared" si="14"/>
        <v>0</v>
      </c>
      <c r="G132" s="60">
        <f t="shared" si="14"/>
        <v>1049.5</v>
      </c>
      <c r="H132" s="60">
        <f t="shared" si="14"/>
        <v>0</v>
      </c>
      <c r="I132" s="60">
        <f t="shared" si="14"/>
        <v>0</v>
      </c>
      <c r="J132" s="60">
        <f t="shared" si="14"/>
        <v>0</v>
      </c>
      <c r="K132" s="627"/>
    </row>
    <row r="133" spans="1:11" s="66" customFormat="1" ht="11.25">
      <c r="A133" s="642"/>
      <c r="B133" s="643"/>
      <c r="C133" s="61" t="s">
        <v>17</v>
      </c>
      <c r="D133" s="644"/>
      <c r="E133" s="62">
        <f t="shared" si="14"/>
        <v>11950</v>
      </c>
      <c r="F133" s="62">
        <f t="shared" si="14"/>
        <v>0</v>
      </c>
      <c r="G133" s="62">
        <f t="shared" si="14"/>
        <v>11950</v>
      </c>
      <c r="H133" s="62">
        <f t="shared" si="14"/>
        <v>0</v>
      </c>
      <c r="I133" s="62">
        <f t="shared" si="14"/>
        <v>0</v>
      </c>
      <c r="J133" s="62">
        <f t="shared" si="14"/>
        <v>0</v>
      </c>
      <c r="K133" s="627"/>
    </row>
    <row r="134" spans="1:11" ht="13.5" customHeight="1">
      <c r="A134" s="646"/>
      <c r="B134" s="639"/>
      <c r="C134" s="14"/>
      <c r="D134" s="652"/>
      <c r="E134" s="65"/>
      <c r="F134" s="65"/>
      <c r="G134" s="65"/>
      <c r="H134" s="65"/>
      <c r="I134" s="65"/>
      <c r="J134" s="65"/>
      <c r="K134" s="627"/>
    </row>
    <row r="135" spans="1:11" ht="12.75" hidden="1">
      <c r="A135" s="646"/>
      <c r="B135" s="639"/>
      <c r="C135" s="19"/>
      <c r="D135" s="652"/>
      <c r="E135" s="52"/>
      <c r="F135" s="52"/>
      <c r="G135" s="52"/>
      <c r="H135" s="52"/>
      <c r="I135" s="52"/>
      <c r="J135" s="52"/>
      <c r="K135" s="627"/>
    </row>
    <row r="136" spans="1:11" ht="12.75" hidden="1">
      <c r="A136" s="646"/>
      <c r="B136" s="639"/>
      <c r="C136" s="69"/>
      <c r="D136" s="652"/>
      <c r="E136" s="70"/>
      <c r="F136" s="70"/>
      <c r="G136" s="70"/>
      <c r="H136" s="70"/>
      <c r="I136" s="70"/>
      <c r="J136" s="70"/>
      <c r="K136" s="627"/>
    </row>
    <row r="137" spans="1:11" ht="12.75" hidden="1">
      <c r="A137" s="71"/>
      <c r="B137" s="72"/>
      <c r="C137" s="19"/>
      <c r="D137" s="67"/>
      <c r="E137" s="52"/>
      <c r="F137" s="52"/>
      <c r="G137" s="52"/>
      <c r="H137" s="52"/>
      <c r="I137" s="52"/>
      <c r="J137" s="52"/>
      <c r="K137" s="627"/>
    </row>
    <row r="138" spans="1:11" ht="15.75" thickBot="1">
      <c r="A138" s="653" t="s">
        <v>48</v>
      </c>
      <c r="B138" s="653"/>
      <c r="C138" s="653"/>
      <c r="D138" s="653"/>
      <c r="E138" s="653"/>
      <c r="F138" s="653"/>
      <c r="G138" s="653"/>
      <c r="H138" s="653"/>
      <c r="I138" s="653"/>
      <c r="J138" s="653"/>
      <c r="K138" s="627"/>
    </row>
    <row r="139" spans="1:11" ht="13.5" customHeight="1" thickBot="1">
      <c r="A139" s="654">
        <v>18</v>
      </c>
      <c r="B139" s="654" t="s">
        <v>49</v>
      </c>
      <c r="C139" s="73" t="s">
        <v>14</v>
      </c>
      <c r="D139" s="655">
        <f>E139+E140+E141</f>
        <v>450</v>
      </c>
      <c r="E139" s="17">
        <f aca="true" t="shared" si="15" ref="E139:E202">SUM(F139:J139)</f>
        <v>45</v>
      </c>
      <c r="F139" s="17">
        <v>0</v>
      </c>
      <c r="G139" s="17">
        <v>45</v>
      </c>
      <c r="H139" s="17">
        <v>0</v>
      </c>
      <c r="I139" s="17">
        <v>0</v>
      </c>
      <c r="J139" s="17">
        <v>0</v>
      </c>
      <c r="K139" s="627"/>
    </row>
    <row r="140" spans="1:11" ht="12.75">
      <c r="A140" s="654"/>
      <c r="B140" s="654"/>
      <c r="C140" s="74" t="s">
        <v>16</v>
      </c>
      <c r="D140" s="655"/>
      <c r="E140" s="21">
        <f t="shared" si="15"/>
        <v>405</v>
      </c>
      <c r="F140" s="21">
        <v>0</v>
      </c>
      <c r="G140" s="21">
        <f>405</f>
        <v>405</v>
      </c>
      <c r="H140" s="21">
        <v>0</v>
      </c>
      <c r="I140" s="21">
        <v>0</v>
      </c>
      <c r="J140" s="21">
        <v>0</v>
      </c>
      <c r="K140" s="627"/>
    </row>
    <row r="141" spans="1:11" ht="26.25" customHeight="1">
      <c r="A141" s="654"/>
      <c r="B141" s="654"/>
      <c r="C141" s="75" t="s">
        <v>17</v>
      </c>
      <c r="D141" s="655"/>
      <c r="E141" s="25">
        <f t="shared" si="15"/>
        <v>0</v>
      </c>
      <c r="F141" s="25">
        <v>0</v>
      </c>
      <c r="G141" s="25">
        <v>0</v>
      </c>
      <c r="H141" s="25">
        <v>0</v>
      </c>
      <c r="I141" s="25">
        <v>0</v>
      </c>
      <c r="J141" s="25">
        <v>0</v>
      </c>
      <c r="K141" s="627"/>
    </row>
    <row r="142" spans="1:11" ht="13.5" customHeight="1">
      <c r="A142" s="654">
        <v>19</v>
      </c>
      <c r="B142" s="654" t="s">
        <v>50</v>
      </c>
      <c r="C142" s="73" t="s">
        <v>14</v>
      </c>
      <c r="D142" s="655">
        <f>E142+E143+E144</f>
        <v>3300</v>
      </c>
      <c r="E142" s="17">
        <f t="shared" si="15"/>
        <v>330</v>
      </c>
      <c r="F142" s="17">
        <v>0</v>
      </c>
      <c r="G142" s="17">
        <v>0</v>
      </c>
      <c r="H142" s="17">
        <v>330</v>
      </c>
      <c r="I142" s="17">
        <v>0</v>
      </c>
      <c r="J142" s="17">
        <v>0</v>
      </c>
      <c r="K142" s="627"/>
    </row>
    <row r="143" spans="1:11" ht="12.75">
      <c r="A143" s="654"/>
      <c r="B143" s="654"/>
      <c r="C143" s="74" t="s">
        <v>16</v>
      </c>
      <c r="D143" s="655"/>
      <c r="E143" s="21">
        <f t="shared" si="15"/>
        <v>2970</v>
      </c>
      <c r="F143" s="21">
        <v>0</v>
      </c>
      <c r="G143" s="21">
        <v>0</v>
      </c>
      <c r="H143" s="21">
        <v>2970</v>
      </c>
      <c r="I143" s="21">
        <v>0</v>
      </c>
      <c r="J143" s="21">
        <v>0</v>
      </c>
      <c r="K143" s="627"/>
    </row>
    <row r="144" spans="1:11" ht="24.75" customHeight="1">
      <c r="A144" s="654"/>
      <c r="B144" s="654"/>
      <c r="C144" s="75" t="s">
        <v>17</v>
      </c>
      <c r="D144" s="655"/>
      <c r="E144" s="25">
        <f t="shared" si="15"/>
        <v>0</v>
      </c>
      <c r="F144" s="25">
        <v>0</v>
      </c>
      <c r="G144" s="25">
        <v>0</v>
      </c>
      <c r="H144" s="25">
        <v>0</v>
      </c>
      <c r="I144" s="25">
        <v>0</v>
      </c>
      <c r="J144" s="25">
        <v>0</v>
      </c>
      <c r="K144" s="627"/>
    </row>
    <row r="145" spans="1:11" ht="13.5" customHeight="1">
      <c r="A145" s="654">
        <v>20</v>
      </c>
      <c r="B145" s="654" t="s">
        <v>51</v>
      </c>
      <c r="C145" s="73" t="s">
        <v>14</v>
      </c>
      <c r="D145" s="655">
        <f>E145+E146+E147</f>
        <v>1653</v>
      </c>
      <c r="E145" s="17">
        <f t="shared" si="15"/>
        <v>1653</v>
      </c>
      <c r="F145" s="17">
        <v>0</v>
      </c>
      <c r="G145" s="17">
        <v>0</v>
      </c>
      <c r="H145" s="17">
        <v>1653</v>
      </c>
      <c r="I145" s="17">
        <v>0</v>
      </c>
      <c r="J145" s="17">
        <v>0</v>
      </c>
      <c r="K145" s="627"/>
    </row>
    <row r="146" spans="1:11" ht="12.75">
      <c r="A146" s="654"/>
      <c r="B146" s="654"/>
      <c r="C146" s="74" t="s">
        <v>16</v>
      </c>
      <c r="D146" s="655"/>
      <c r="E146" s="21">
        <f t="shared" si="15"/>
        <v>0</v>
      </c>
      <c r="F146" s="21">
        <v>0</v>
      </c>
      <c r="G146" s="21">
        <v>0</v>
      </c>
      <c r="H146" s="21">
        <v>0</v>
      </c>
      <c r="I146" s="21">
        <v>0</v>
      </c>
      <c r="J146" s="21">
        <v>0</v>
      </c>
      <c r="K146" s="627"/>
    </row>
    <row r="147" spans="1:11" ht="12.75">
      <c r="A147" s="654"/>
      <c r="B147" s="654"/>
      <c r="C147" s="75" t="s">
        <v>17</v>
      </c>
      <c r="D147" s="655"/>
      <c r="E147" s="25">
        <f t="shared" si="15"/>
        <v>0</v>
      </c>
      <c r="F147" s="25">
        <v>0</v>
      </c>
      <c r="G147" s="25">
        <v>0</v>
      </c>
      <c r="H147" s="25">
        <v>0</v>
      </c>
      <c r="I147" s="25">
        <v>0</v>
      </c>
      <c r="J147" s="25">
        <v>0</v>
      </c>
      <c r="K147" s="627"/>
    </row>
    <row r="148" spans="1:11" ht="13.5" customHeight="1">
      <c r="A148" s="654">
        <v>21</v>
      </c>
      <c r="B148" s="654" t="s">
        <v>52</v>
      </c>
      <c r="C148" s="73" t="s">
        <v>14</v>
      </c>
      <c r="D148" s="655">
        <f>E148+E149+E150</f>
        <v>78816.06999999999</v>
      </c>
      <c r="E148" s="17">
        <f t="shared" si="15"/>
        <v>64496.80699999999</v>
      </c>
      <c r="F148" s="17">
        <f aca="true" t="shared" si="16" ref="F148:J150">F151+F154+F157+F160+F163+F166+F169+F172+F175+F178+F181</f>
        <v>0</v>
      </c>
      <c r="G148" s="17">
        <f t="shared" si="16"/>
        <v>301</v>
      </c>
      <c r="H148" s="17">
        <f t="shared" si="16"/>
        <v>40568.206999999995</v>
      </c>
      <c r="I148" s="17">
        <f t="shared" si="16"/>
        <v>440.6</v>
      </c>
      <c r="J148" s="17">
        <f t="shared" si="16"/>
        <v>23187</v>
      </c>
      <c r="K148" s="627"/>
    </row>
    <row r="149" spans="1:11" ht="12.75">
      <c r="A149" s="654"/>
      <c r="B149" s="654"/>
      <c r="C149" s="74" t="s">
        <v>16</v>
      </c>
      <c r="D149" s="655"/>
      <c r="E149" s="21">
        <f t="shared" si="15"/>
        <v>14319.262999999999</v>
      </c>
      <c r="F149" s="21">
        <f t="shared" si="16"/>
        <v>0</v>
      </c>
      <c r="G149" s="21">
        <f t="shared" si="16"/>
        <v>2300.5</v>
      </c>
      <c r="H149" s="21">
        <f t="shared" si="16"/>
        <v>8053.763</v>
      </c>
      <c r="I149" s="21">
        <f t="shared" si="16"/>
        <v>3965</v>
      </c>
      <c r="J149" s="21">
        <f t="shared" si="16"/>
        <v>0</v>
      </c>
      <c r="K149" s="627"/>
    </row>
    <row r="150" spans="1:11" ht="12.75">
      <c r="A150" s="654"/>
      <c r="B150" s="654"/>
      <c r="C150" s="75" t="s">
        <v>17</v>
      </c>
      <c r="D150" s="655"/>
      <c r="E150" s="25">
        <f t="shared" si="15"/>
        <v>0</v>
      </c>
      <c r="F150" s="25">
        <f t="shared" si="16"/>
        <v>0</v>
      </c>
      <c r="G150" s="25">
        <f t="shared" si="16"/>
        <v>0</v>
      </c>
      <c r="H150" s="25">
        <f t="shared" si="16"/>
        <v>0</v>
      </c>
      <c r="I150" s="25">
        <f t="shared" si="16"/>
        <v>0</v>
      </c>
      <c r="J150" s="25">
        <f t="shared" si="16"/>
        <v>0</v>
      </c>
      <c r="K150" s="627"/>
    </row>
    <row r="151" spans="1:11" ht="13.5" customHeight="1">
      <c r="A151" s="656"/>
      <c r="B151" s="656" t="s">
        <v>85</v>
      </c>
      <c r="C151" s="76" t="s">
        <v>14</v>
      </c>
      <c r="D151" s="657">
        <f>E151+E152+E153</f>
        <v>2601.5</v>
      </c>
      <c r="E151" s="46">
        <f t="shared" si="15"/>
        <v>301</v>
      </c>
      <c r="F151" s="46">
        <v>0</v>
      </c>
      <c r="G151" s="46">
        <v>301</v>
      </c>
      <c r="H151" s="46">
        <v>0</v>
      </c>
      <c r="I151" s="46">
        <v>0</v>
      </c>
      <c r="J151" s="46">
        <v>0</v>
      </c>
      <c r="K151" s="627"/>
    </row>
    <row r="152" spans="1:11" ht="12.75">
      <c r="A152" s="656"/>
      <c r="B152" s="656"/>
      <c r="C152" s="77" t="s">
        <v>16</v>
      </c>
      <c r="D152" s="657"/>
      <c r="E152" s="47">
        <f t="shared" si="15"/>
        <v>2300.5</v>
      </c>
      <c r="F152" s="47">
        <v>0</v>
      </c>
      <c r="G152" s="47">
        <f>2705.5-405</f>
        <v>2300.5</v>
      </c>
      <c r="H152" s="47">
        <v>0</v>
      </c>
      <c r="I152" s="47">
        <v>0</v>
      </c>
      <c r="J152" s="47">
        <v>0</v>
      </c>
      <c r="K152" s="627"/>
    </row>
    <row r="153" spans="1:11" ht="12.75">
      <c r="A153" s="656"/>
      <c r="B153" s="656"/>
      <c r="C153" s="78" t="s">
        <v>17</v>
      </c>
      <c r="D153" s="657"/>
      <c r="E153" s="48">
        <f t="shared" si="15"/>
        <v>0</v>
      </c>
      <c r="F153" s="48">
        <v>0</v>
      </c>
      <c r="G153" s="48">
        <v>0</v>
      </c>
      <c r="H153" s="48">
        <v>0</v>
      </c>
      <c r="I153" s="48">
        <v>0</v>
      </c>
      <c r="J153" s="48">
        <v>0</v>
      </c>
      <c r="K153" s="627"/>
    </row>
    <row r="154" spans="1:11" ht="13.5" customHeight="1">
      <c r="A154" s="656"/>
      <c r="B154" s="656" t="s">
        <v>53</v>
      </c>
      <c r="C154" s="76" t="s">
        <v>14</v>
      </c>
      <c r="D154" s="657">
        <f>E154+E155+E156</f>
        <v>3650</v>
      </c>
      <c r="E154" s="46">
        <f t="shared" si="15"/>
        <v>365</v>
      </c>
      <c r="F154" s="46">
        <v>0</v>
      </c>
      <c r="G154" s="46">
        <v>0</v>
      </c>
      <c r="H154" s="46">
        <v>365</v>
      </c>
      <c r="I154" s="46">
        <v>0</v>
      </c>
      <c r="J154" s="46">
        <v>0</v>
      </c>
      <c r="K154" s="627"/>
    </row>
    <row r="155" spans="1:11" ht="12.75">
      <c r="A155" s="656"/>
      <c r="B155" s="656"/>
      <c r="C155" s="77" t="s">
        <v>16</v>
      </c>
      <c r="D155" s="657"/>
      <c r="E155" s="47">
        <f t="shared" si="15"/>
        <v>3285</v>
      </c>
      <c r="F155" s="47">
        <v>0</v>
      </c>
      <c r="G155" s="47">
        <v>0</v>
      </c>
      <c r="H155" s="47">
        <v>3285</v>
      </c>
      <c r="I155" s="47">
        <v>0</v>
      </c>
      <c r="J155" s="47">
        <v>0</v>
      </c>
      <c r="K155" s="627"/>
    </row>
    <row r="156" spans="1:11" ht="12.75">
      <c r="A156" s="656"/>
      <c r="B156" s="656"/>
      <c r="C156" s="78" t="s">
        <v>17</v>
      </c>
      <c r="D156" s="657"/>
      <c r="E156" s="48">
        <f t="shared" si="15"/>
        <v>0</v>
      </c>
      <c r="F156" s="48">
        <v>0</v>
      </c>
      <c r="G156" s="48">
        <v>0</v>
      </c>
      <c r="H156" s="48">
        <v>0</v>
      </c>
      <c r="I156" s="48">
        <v>0</v>
      </c>
      <c r="J156" s="48">
        <v>0</v>
      </c>
      <c r="K156" s="627"/>
    </row>
    <row r="157" spans="1:11" ht="13.5" customHeight="1">
      <c r="A157" s="656"/>
      <c r="B157" s="656" t="s">
        <v>54</v>
      </c>
      <c r="C157" s="76" t="s">
        <v>14</v>
      </c>
      <c r="D157" s="657">
        <f>E157+E158+E159</f>
        <v>4405.6</v>
      </c>
      <c r="E157" s="46">
        <f t="shared" si="15"/>
        <v>440.6</v>
      </c>
      <c r="F157" s="46">
        <v>0</v>
      </c>
      <c r="G157" s="46">
        <v>0</v>
      </c>
      <c r="H157" s="46">
        <v>0</v>
      </c>
      <c r="I157" s="46">
        <v>440.6</v>
      </c>
      <c r="J157" s="46">
        <v>0</v>
      </c>
      <c r="K157" s="627"/>
    </row>
    <row r="158" spans="1:11" ht="12.75">
      <c r="A158" s="656"/>
      <c r="B158" s="656"/>
      <c r="C158" s="77" t="s">
        <v>16</v>
      </c>
      <c r="D158" s="657"/>
      <c r="E158" s="47">
        <f t="shared" si="15"/>
        <v>3965</v>
      </c>
      <c r="F158" s="47">
        <v>0</v>
      </c>
      <c r="G158" s="47">
        <v>0</v>
      </c>
      <c r="H158" s="47">
        <v>0</v>
      </c>
      <c r="I158" s="47">
        <v>3965</v>
      </c>
      <c r="J158" s="47">
        <v>0</v>
      </c>
      <c r="K158" s="627"/>
    </row>
    <row r="159" spans="1:11" ht="12.75">
      <c r="A159" s="656"/>
      <c r="B159" s="656"/>
      <c r="C159" s="78" t="s">
        <v>17</v>
      </c>
      <c r="D159" s="657"/>
      <c r="E159" s="48">
        <f t="shared" si="15"/>
        <v>0</v>
      </c>
      <c r="F159" s="48">
        <v>0</v>
      </c>
      <c r="G159" s="48">
        <v>0</v>
      </c>
      <c r="H159" s="48">
        <v>0</v>
      </c>
      <c r="I159" s="48">
        <v>0</v>
      </c>
      <c r="J159" s="48">
        <v>0</v>
      </c>
      <c r="K159" s="627"/>
    </row>
    <row r="160" spans="1:11" ht="13.5" customHeight="1">
      <c r="A160" s="656"/>
      <c r="B160" s="656" t="s">
        <v>55</v>
      </c>
      <c r="C160" s="76" t="s">
        <v>14</v>
      </c>
      <c r="D160" s="658">
        <f>E160+E161+E162</f>
        <v>4906.97</v>
      </c>
      <c r="E160" s="46">
        <f t="shared" si="15"/>
        <v>922.907</v>
      </c>
      <c r="F160" s="46">
        <v>0</v>
      </c>
      <c r="G160" s="79">
        <v>0</v>
      </c>
      <c r="H160" s="46">
        <f>3800.07*0.1+542.9</f>
        <v>922.907</v>
      </c>
      <c r="I160" s="46">
        <v>0</v>
      </c>
      <c r="J160" s="46">
        <v>0</v>
      </c>
      <c r="K160" s="627"/>
    </row>
    <row r="161" spans="1:11" ht="12.75">
      <c r="A161" s="656"/>
      <c r="B161" s="656"/>
      <c r="C161" s="77" t="s">
        <v>16</v>
      </c>
      <c r="D161" s="658"/>
      <c r="E161" s="47">
        <f t="shared" si="15"/>
        <v>3984.063</v>
      </c>
      <c r="F161" s="47">
        <v>0</v>
      </c>
      <c r="G161" s="80">
        <v>0</v>
      </c>
      <c r="H161" s="47">
        <f>3800.07*0.9+564</f>
        <v>3984.063</v>
      </c>
      <c r="I161" s="47">
        <v>0</v>
      </c>
      <c r="J161" s="47">
        <v>0</v>
      </c>
      <c r="K161" s="627"/>
    </row>
    <row r="162" spans="1:11" ht="12.75">
      <c r="A162" s="656"/>
      <c r="B162" s="656"/>
      <c r="C162" s="78" t="s">
        <v>17</v>
      </c>
      <c r="D162" s="658"/>
      <c r="E162" s="48">
        <f t="shared" si="15"/>
        <v>0</v>
      </c>
      <c r="F162" s="48">
        <v>0</v>
      </c>
      <c r="G162" s="81">
        <v>0</v>
      </c>
      <c r="H162" s="48">
        <v>0</v>
      </c>
      <c r="I162" s="48">
        <v>0</v>
      </c>
      <c r="J162" s="48">
        <v>0</v>
      </c>
      <c r="K162" s="627"/>
    </row>
    <row r="163" spans="1:11" ht="13.5" customHeight="1">
      <c r="A163" s="656"/>
      <c r="B163" s="656" t="s">
        <v>56</v>
      </c>
      <c r="C163" s="76" t="s">
        <v>14</v>
      </c>
      <c r="D163" s="658">
        <f>E163+E164+E165</f>
        <v>1443</v>
      </c>
      <c r="E163" s="46">
        <f t="shared" si="15"/>
        <v>658.3</v>
      </c>
      <c r="F163" s="46">
        <v>0</v>
      </c>
      <c r="G163" s="46">
        <v>0</v>
      </c>
      <c r="H163" s="46">
        <f>1443*0.1+514</f>
        <v>658.3</v>
      </c>
      <c r="I163" s="46">
        <v>0</v>
      </c>
      <c r="J163" s="46">
        <v>0</v>
      </c>
      <c r="K163" s="627"/>
    </row>
    <row r="164" spans="1:11" ht="12.75">
      <c r="A164" s="656"/>
      <c r="B164" s="656"/>
      <c r="C164" s="77" t="s">
        <v>16</v>
      </c>
      <c r="D164" s="658"/>
      <c r="E164" s="47">
        <f t="shared" si="15"/>
        <v>784.7</v>
      </c>
      <c r="F164" s="47">
        <v>0</v>
      </c>
      <c r="G164" s="47">
        <v>0</v>
      </c>
      <c r="H164" s="47">
        <f>1443*0.9-514</f>
        <v>784.7</v>
      </c>
      <c r="I164" s="47">
        <v>0</v>
      </c>
      <c r="J164" s="47">
        <v>0</v>
      </c>
      <c r="K164" s="627"/>
    </row>
    <row r="165" spans="1:11" ht="12.75">
      <c r="A165" s="656"/>
      <c r="B165" s="656"/>
      <c r="C165" s="78" t="s">
        <v>17</v>
      </c>
      <c r="D165" s="658"/>
      <c r="E165" s="48">
        <f t="shared" si="15"/>
        <v>0</v>
      </c>
      <c r="F165" s="48">
        <v>0</v>
      </c>
      <c r="G165" s="48">
        <v>0</v>
      </c>
      <c r="H165" s="48">
        <v>0</v>
      </c>
      <c r="I165" s="48">
        <v>0</v>
      </c>
      <c r="J165" s="48">
        <v>0</v>
      </c>
      <c r="K165" s="627"/>
    </row>
    <row r="166" spans="1:11" ht="13.5" customHeight="1">
      <c r="A166" s="656"/>
      <c r="B166" s="656" t="s">
        <v>57</v>
      </c>
      <c r="C166" s="76" t="s">
        <v>14</v>
      </c>
      <c r="D166" s="658">
        <f>E166+E167+E168</f>
        <v>26000</v>
      </c>
      <c r="E166" s="46">
        <f t="shared" si="15"/>
        <v>26000</v>
      </c>
      <c r="F166" s="46">
        <v>0</v>
      </c>
      <c r="G166" s="46">
        <v>0</v>
      </c>
      <c r="H166" s="79">
        <v>26000</v>
      </c>
      <c r="I166" s="46">
        <v>0</v>
      </c>
      <c r="J166" s="46">
        <v>0</v>
      </c>
      <c r="K166" s="627"/>
    </row>
    <row r="167" spans="1:11" ht="12.75">
      <c r="A167" s="656"/>
      <c r="B167" s="656"/>
      <c r="C167" s="77" t="s">
        <v>16</v>
      </c>
      <c r="D167" s="658"/>
      <c r="E167" s="47">
        <f t="shared" si="15"/>
        <v>0</v>
      </c>
      <c r="F167" s="47">
        <v>0</v>
      </c>
      <c r="G167" s="47">
        <v>0</v>
      </c>
      <c r="H167" s="47">
        <v>0</v>
      </c>
      <c r="I167" s="47">
        <v>0</v>
      </c>
      <c r="J167" s="47">
        <v>0</v>
      </c>
      <c r="K167" s="627"/>
    </row>
    <row r="168" spans="1:11" ht="12.75">
      <c r="A168" s="656"/>
      <c r="B168" s="656"/>
      <c r="C168" s="78" t="s">
        <v>17</v>
      </c>
      <c r="D168" s="658"/>
      <c r="E168" s="48">
        <f t="shared" si="15"/>
        <v>0</v>
      </c>
      <c r="F168" s="48">
        <v>0</v>
      </c>
      <c r="G168" s="48">
        <v>0</v>
      </c>
      <c r="H168" s="48">
        <v>0</v>
      </c>
      <c r="I168" s="48">
        <v>0</v>
      </c>
      <c r="J168" s="48">
        <v>0</v>
      </c>
      <c r="K168" s="627"/>
    </row>
    <row r="169" spans="1:11" ht="13.5" customHeight="1">
      <c r="A169" s="656"/>
      <c r="B169" s="656" t="s">
        <v>58</v>
      </c>
      <c r="C169" s="76" t="s">
        <v>14</v>
      </c>
      <c r="D169" s="658">
        <f>E169+E170+E171</f>
        <v>9754</v>
      </c>
      <c r="E169" s="46">
        <f t="shared" si="15"/>
        <v>9754</v>
      </c>
      <c r="F169" s="46">
        <v>0</v>
      </c>
      <c r="G169" s="46">
        <v>0</v>
      </c>
      <c r="H169" s="46">
        <v>9754</v>
      </c>
      <c r="I169" s="46">
        <v>0</v>
      </c>
      <c r="J169" s="46">
        <v>0</v>
      </c>
      <c r="K169" s="627"/>
    </row>
    <row r="170" spans="1:11" ht="12.75">
      <c r="A170" s="656"/>
      <c r="B170" s="656"/>
      <c r="C170" s="77" t="s">
        <v>16</v>
      </c>
      <c r="D170" s="658"/>
      <c r="E170" s="47">
        <f t="shared" si="15"/>
        <v>0</v>
      </c>
      <c r="F170" s="47">
        <v>0</v>
      </c>
      <c r="G170" s="47">
        <v>0</v>
      </c>
      <c r="H170" s="47">
        <v>0</v>
      </c>
      <c r="I170" s="47">
        <v>0</v>
      </c>
      <c r="J170" s="47">
        <v>0</v>
      </c>
      <c r="K170" s="627"/>
    </row>
    <row r="171" spans="1:11" ht="12.75">
      <c r="A171" s="656"/>
      <c r="B171" s="656"/>
      <c r="C171" s="78" t="s">
        <v>17</v>
      </c>
      <c r="D171" s="658"/>
      <c r="E171" s="48">
        <f t="shared" si="15"/>
        <v>0</v>
      </c>
      <c r="F171" s="48">
        <v>0</v>
      </c>
      <c r="G171" s="48">
        <v>0</v>
      </c>
      <c r="H171" s="48">
        <v>0</v>
      </c>
      <c r="I171" s="48">
        <v>0</v>
      </c>
      <c r="J171" s="48">
        <v>0</v>
      </c>
      <c r="K171" s="627"/>
    </row>
    <row r="172" spans="1:11" ht="13.5" customHeight="1">
      <c r="A172" s="656"/>
      <c r="B172" s="656" t="s">
        <v>59</v>
      </c>
      <c r="C172" s="76" t="s">
        <v>14</v>
      </c>
      <c r="D172" s="658">
        <f>E172+E173+E174</f>
        <v>2868</v>
      </c>
      <c r="E172" s="46">
        <f t="shared" si="15"/>
        <v>2868</v>
      </c>
      <c r="F172" s="46">
        <v>0</v>
      </c>
      <c r="G172" s="46">
        <v>0</v>
      </c>
      <c r="H172" s="46">
        <v>2868</v>
      </c>
      <c r="I172" s="46">
        <v>0</v>
      </c>
      <c r="J172" s="46">
        <v>0</v>
      </c>
      <c r="K172" s="627"/>
    </row>
    <row r="173" spans="1:11" ht="12.75">
      <c r="A173" s="656"/>
      <c r="B173" s="656"/>
      <c r="C173" s="77" t="s">
        <v>16</v>
      </c>
      <c r="D173" s="658"/>
      <c r="E173" s="47">
        <f t="shared" si="15"/>
        <v>0</v>
      </c>
      <c r="F173" s="47">
        <v>0</v>
      </c>
      <c r="G173" s="47">
        <v>0</v>
      </c>
      <c r="H173" s="47">
        <v>0</v>
      </c>
      <c r="I173" s="47">
        <v>0</v>
      </c>
      <c r="J173" s="47">
        <v>0</v>
      </c>
      <c r="K173" s="627"/>
    </row>
    <row r="174" spans="1:11" ht="12.75">
      <c r="A174" s="656"/>
      <c r="B174" s="656"/>
      <c r="C174" s="78" t="s">
        <v>17</v>
      </c>
      <c r="D174" s="658"/>
      <c r="E174" s="48">
        <f t="shared" si="15"/>
        <v>0</v>
      </c>
      <c r="F174" s="48">
        <v>0</v>
      </c>
      <c r="G174" s="48">
        <v>0</v>
      </c>
      <c r="H174" s="48">
        <v>0</v>
      </c>
      <c r="I174" s="48">
        <v>0</v>
      </c>
      <c r="J174" s="48">
        <v>0</v>
      </c>
      <c r="K174" s="627"/>
    </row>
    <row r="175" spans="1:11" ht="13.5" customHeight="1">
      <c r="A175" s="656"/>
      <c r="B175" s="656" t="s">
        <v>60</v>
      </c>
      <c r="C175" s="76" t="s">
        <v>14</v>
      </c>
      <c r="D175" s="658">
        <f>E175+E176+E177</f>
        <v>11614</v>
      </c>
      <c r="E175" s="46">
        <f t="shared" si="15"/>
        <v>11614</v>
      </c>
      <c r="F175" s="46">
        <v>0</v>
      </c>
      <c r="G175" s="46">
        <v>0</v>
      </c>
      <c r="H175" s="46">
        <v>0</v>
      </c>
      <c r="I175" s="46">
        <v>0</v>
      </c>
      <c r="J175" s="46">
        <v>11614</v>
      </c>
      <c r="K175" s="627"/>
    </row>
    <row r="176" spans="1:11" ht="13.5" thickBot="1">
      <c r="A176" s="656"/>
      <c r="B176" s="656"/>
      <c r="C176" s="77" t="s">
        <v>16</v>
      </c>
      <c r="D176" s="658"/>
      <c r="E176" s="47">
        <f t="shared" si="15"/>
        <v>0</v>
      </c>
      <c r="F176" s="47">
        <v>0</v>
      </c>
      <c r="G176" s="47">
        <v>0</v>
      </c>
      <c r="H176" s="47">
        <v>0</v>
      </c>
      <c r="I176" s="47">
        <v>0</v>
      </c>
      <c r="J176" s="47">
        <v>0</v>
      </c>
      <c r="K176" s="627"/>
    </row>
    <row r="177" spans="1:11" ht="27.75" customHeight="1" thickBot="1">
      <c r="A177" s="656"/>
      <c r="B177" s="656"/>
      <c r="C177" s="78" t="s">
        <v>17</v>
      </c>
      <c r="D177" s="658"/>
      <c r="E177" s="48">
        <f t="shared" si="15"/>
        <v>0</v>
      </c>
      <c r="F177" s="48">
        <v>0</v>
      </c>
      <c r="G177" s="48">
        <v>0</v>
      </c>
      <c r="H177" s="48">
        <v>0</v>
      </c>
      <c r="I177" s="48">
        <v>0</v>
      </c>
      <c r="J177" s="48"/>
      <c r="K177" s="627"/>
    </row>
    <row r="178" spans="1:11" ht="13.5" customHeight="1" thickBot="1">
      <c r="A178" s="656"/>
      <c r="B178" s="656" t="s">
        <v>61</v>
      </c>
      <c r="C178" s="76" t="s">
        <v>14</v>
      </c>
      <c r="D178" s="658">
        <f>E178+E179+E180</f>
        <v>10125</v>
      </c>
      <c r="E178" s="46">
        <f t="shared" si="15"/>
        <v>10125</v>
      </c>
      <c r="F178" s="46">
        <v>0</v>
      </c>
      <c r="G178" s="46">
        <v>0</v>
      </c>
      <c r="H178" s="46">
        <v>0</v>
      </c>
      <c r="I178" s="46">
        <v>0</v>
      </c>
      <c r="J178" s="46">
        <v>10125</v>
      </c>
      <c r="K178" s="627"/>
    </row>
    <row r="179" spans="1:11" ht="13.5" thickBot="1">
      <c r="A179" s="656"/>
      <c r="B179" s="656"/>
      <c r="C179" s="77" t="s">
        <v>16</v>
      </c>
      <c r="D179" s="658"/>
      <c r="E179" s="47">
        <f t="shared" si="15"/>
        <v>0</v>
      </c>
      <c r="F179" s="47">
        <v>0</v>
      </c>
      <c r="G179" s="47">
        <v>0</v>
      </c>
      <c r="H179" s="47">
        <v>0</v>
      </c>
      <c r="I179" s="47">
        <v>0</v>
      </c>
      <c r="J179" s="47"/>
      <c r="K179" s="627"/>
    </row>
    <row r="180" spans="1:11" ht="11.25" customHeight="1">
      <c r="A180" s="656"/>
      <c r="B180" s="656"/>
      <c r="C180" s="78" t="s">
        <v>17</v>
      </c>
      <c r="D180" s="658"/>
      <c r="E180" s="48">
        <f t="shared" si="15"/>
        <v>0</v>
      </c>
      <c r="F180" s="48">
        <v>0</v>
      </c>
      <c r="G180" s="48">
        <v>0</v>
      </c>
      <c r="H180" s="48">
        <v>0</v>
      </c>
      <c r="I180" s="48">
        <v>0</v>
      </c>
      <c r="J180" s="48">
        <v>0</v>
      </c>
      <c r="K180" s="627"/>
    </row>
    <row r="181" spans="1:11" ht="13.5" customHeight="1">
      <c r="A181" s="656"/>
      <c r="B181" s="656" t="s">
        <v>62</v>
      </c>
      <c r="C181" s="76" t="s">
        <v>14</v>
      </c>
      <c r="D181" s="658">
        <f>E181+E182+E183</f>
        <v>1448</v>
      </c>
      <c r="E181" s="46">
        <f t="shared" si="15"/>
        <v>1448</v>
      </c>
      <c r="F181" s="46">
        <v>0</v>
      </c>
      <c r="G181" s="46">
        <v>0</v>
      </c>
      <c r="H181" s="46">
        <v>0</v>
      </c>
      <c r="I181" s="46">
        <v>0</v>
      </c>
      <c r="J181" s="46">
        <v>1448</v>
      </c>
      <c r="K181" s="627"/>
    </row>
    <row r="182" spans="1:11" ht="12.75">
      <c r="A182" s="656"/>
      <c r="B182" s="656"/>
      <c r="C182" s="77" t="s">
        <v>16</v>
      </c>
      <c r="D182" s="658"/>
      <c r="E182" s="47">
        <f t="shared" si="15"/>
        <v>0</v>
      </c>
      <c r="F182" s="47">
        <v>0</v>
      </c>
      <c r="G182" s="47">
        <v>0</v>
      </c>
      <c r="H182" s="47">
        <v>0</v>
      </c>
      <c r="I182" s="47">
        <v>0</v>
      </c>
      <c r="J182" s="47">
        <v>0</v>
      </c>
      <c r="K182" s="627"/>
    </row>
    <row r="183" spans="1:11" ht="12.75">
      <c r="A183" s="656"/>
      <c r="B183" s="656"/>
      <c r="C183" s="78" t="s">
        <v>17</v>
      </c>
      <c r="D183" s="658"/>
      <c r="E183" s="48">
        <f t="shared" si="15"/>
        <v>0</v>
      </c>
      <c r="F183" s="48">
        <v>0</v>
      </c>
      <c r="G183" s="48">
        <v>0</v>
      </c>
      <c r="H183" s="48">
        <v>0</v>
      </c>
      <c r="I183" s="48">
        <v>0</v>
      </c>
      <c r="J183" s="48">
        <v>0</v>
      </c>
      <c r="K183" s="627"/>
    </row>
    <row r="184" spans="1:11" ht="13.5" customHeight="1">
      <c r="A184" s="654">
        <v>22</v>
      </c>
      <c r="B184" s="654" t="s">
        <v>63</v>
      </c>
      <c r="C184" s="73" t="s">
        <v>14</v>
      </c>
      <c r="D184" s="655">
        <f>E184+E185+E186</f>
        <v>11277.4</v>
      </c>
      <c r="E184" s="17">
        <f t="shared" si="15"/>
        <v>10846.8</v>
      </c>
      <c r="F184" s="17">
        <f aca="true" t="shared" si="17" ref="F184:J186">F187+F190+F193+F196+F199+F202+F205+F208+F211+F214</f>
        <v>0</v>
      </c>
      <c r="G184" s="17">
        <f t="shared" si="17"/>
        <v>0</v>
      </c>
      <c r="H184" s="17">
        <f t="shared" si="17"/>
        <v>7201</v>
      </c>
      <c r="I184" s="17">
        <f t="shared" si="17"/>
        <v>3598</v>
      </c>
      <c r="J184" s="17">
        <f t="shared" si="17"/>
        <v>47.800000000000004</v>
      </c>
      <c r="K184" s="627"/>
    </row>
    <row r="185" spans="1:11" ht="12.75">
      <c r="A185" s="654"/>
      <c r="B185" s="654"/>
      <c r="C185" s="74" t="s">
        <v>16</v>
      </c>
      <c r="D185" s="655"/>
      <c r="E185" s="21">
        <f t="shared" si="15"/>
        <v>430.59999999999997</v>
      </c>
      <c r="F185" s="21">
        <f t="shared" si="17"/>
        <v>0</v>
      </c>
      <c r="G185" s="21">
        <f t="shared" si="17"/>
        <v>0</v>
      </c>
      <c r="H185" s="21">
        <f t="shared" si="17"/>
        <v>0.4</v>
      </c>
      <c r="I185" s="21">
        <f t="shared" si="17"/>
        <v>0</v>
      </c>
      <c r="J185" s="21">
        <f t="shared" si="17"/>
        <v>430.2</v>
      </c>
      <c r="K185" s="627"/>
    </row>
    <row r="186" spans="1:11" ht="12.75">
      <c r="A186" s="654"/>
      <c r="B186" s="654"/>
      <c r="C186" s="75" t="s">
        <v>17</v>
      </c>
      <c r="D186" s="655"/>
      <c r="E186" s="25">
        <f t="shared" si="15"/>
        <v>0</v>
      </c>
      <c r="F186" s="25">
        <f t="shared" si="17"/>
        <v>0</v>
      </c>
      <c r="G186" s="25">
        <f t="shared" si="17"/>
        <v>0</v>
      </c>
      <c r="H186" s="25">
        <f t="shared" si="17"/>
        <v>0</v>
      </c>
      <c r="I186" s="25">
        <f t="shared" si="17"/>
        <v>0</v>
      </c>
      <c r="J186" s="25">
        <f t="shared" si="17"/>
        <v>0</v>
      </c>
      <c r="K186" s="627"/>
    </row>
    <row r="187" spans="1:11" ht="13.5" customHeight="1">
      <c r="A187" s="656"/>
      <c r="B187" s="656" t="s">
        <v>64</v>
      </c>
      <c r="C187" s="76" t="s">
        <v>14</v>
      </c>
      <c r="D187" s="658">
        <f>E187+E188+E189</f>
        <v>1440</v>
      </c>
      <c r="E187" s="46">
        <f t="shared" si="15"/>
        <v>1440</v>
      </c>
      <c r="F187" s="46">
        <v>0</v>
      </c>
      <c r="G187" s="46">
        <v>0</v>
      </c>
      <c r="H187" s="46">
        <v>1440</v>
      </c>
      <c r="I187" s="46">
        <v>0</v>
      </c>
      <c r="J187" s="46">
        <v>0</v>
      </c>
      <c r="K187" s="627"/>
    </row>
    <row r="188" spans="1:11" ht="12.75">
      <c r="A188" s="656"/>
      <c r="B188" s="656"/>
      <c r="C188" s="77" t="s">
        <v>16</v>
      </c>
      <c r="D188" s="658"/>
      <c r="E188" s="47">
        <f t="shared" si="15"/>
        <v>0</v>
      </c>
      <c r="F188" s="47">
        <v>0</v>
      </c>
      <c r="G188" s="47">
        <v>0</v>
      </c>
      <c r="H188" s="47">
        <v>0</v>
      </c>
      <c r="I188" s="47">
        <v>0</v>
      </c>
      <c r="J188" s="47">
        <v>0</v>
      </c>
      <c r="K188" s="627"/>
    </row>
    <row r="189" spans="1:11" ht="12.75">
      <c r="A189" s="656"/>
      <c r="B189" s="656"/>
      <c r="C189" s="78" t="s">
        <v>17</v>
      </c>
      <c r="D189" s="658"/>
      <c r="E189" s="48">
        <f t="shared" si="15"/>
        <v>0</v>
      </c>
      <c r="F189" s="48">
        <v>0</v>
      </c>
      <c r="G189" s="48">
        <v>0</v>
      </c>
      <c r="H189" s="48">
        <v>0</v>
      </c>
      <c r="I189" s="48">
        <v>0</v>
      </c>
      <c r="J189" s="48">
        <v>0</v>
      </c>
      <c r="K189" s="627"/>
    </row>
    <row r="190" spans="1:11" ht="13.5" customHeight="1">
      <c r="A190" s="656"/>
      <c r="B190" s="656" t="s">
        <v>58</v>
      </c>
      <c r="C190" s="76" t="s">
        <v>14</v>
      </c>
      <c r="D190" s="658">
        <f>E190+E191+E192</f>
        <v>2326</v>
      </c>
      <c r="E190" s="46">
        <f t="shared" si="15"/>
        <v>2326</v>
      </c>
      <c r="F190" s="46">
        <v>0</v>
      </c>
      <c r="G190" s="46">
        <v>0</v>
      </c>
      <c r="H190" s="46">
        <v>2326</v>
      </c>
      <c r="I190" s="46">
        <v>0</v>
      </c>
      <c r="J190" s="46">
        <v>0</v>
      </c>
      <c r="K190" s="627"/>
    </row>
    <row r="191" spans="1:11" ht="12.75">
      <c r="A191" s="656"/>
      <c r="B191" s="656"/>
      <c r="C191" s="77" t="s">
        <v>16</v>
      </c>
      <c r="D191" s="658"/>
      <c r="E191" s="47">
        <f t="shared" si="15"/>
        <v>0</v>
      </c>
      <c r="F191" s="47">
        <v>0</v>
      </c>
      <c r="G191" s="47">
        <v>0</v>
      </c>
      <c r="H191" s="47">
        <v>0</v>
      </c>
      <c r="I191" s="47">
        <v>0</v>
      </c>
      <c r="J191" s="47">
        <v>0</v>
      </c>
      <c r="K191" s="627"/>
    </row>
    <row r="192" spans="1:11" ht="12.75">
      <c r="A192" s="656"/>
      <c r="B192" s="656"/>
      <c r="C192" s="78" t="s">
        <v>17</v>
      </c>
      <c r="D192" s="658"/>
      <c r="E192" s="48">
        <f t="shared" si="15"/>
        <v>0</v>
      </c>
      <c r="F192" s="48">
        <v>0</v>
      </c>
      <c r="G192" s="48"/>
      <c r="H192" s="48">
        <v>0</v>
      </c>
      <c r="I192" s="48">
        <v>0</v>
      </c>
      <c r="J192" s="48">
        <v>0</v>
      </c>
      <c r="K192" s="627"/>
    </row>
    <row r="193" spans="1:11" ht="13.5" customHeight="1">
      <c r="A193" s="656"/>
      <c r="B193" s="656" t="s">
        <v>65</v>
      </c>
      <c r="C193" s="76" t="s">
        <v>14</v>
      </c>
      <c r="D193" s="658">
        <f>E193+E194+E195</f>
        <v>2124.4</v>
      </c>
      <c r="E193" s="46">
        <f t="shared" si="15"/>
        <v>2124</v>
      </c>
      <c r="F193" s="46">
        <v>0</v>
      </c>
      <c r="G193" s="46">
        <v>0</v>
      </c>
      <c r="H193" s="46">
        <v>2124</v>
      </c>
      <c r="I193" s="46">
        <v>0</v>
      </c>
      <c r="J193" s="46">
        <v>0</v>
      </c>
      <c r="K193" s="627"/>
    </row>
    <row r="194" spans="1:11" ht="12.75">
      <c r="A194" s="656"/>
      <c r="B194" s="656"/>
      <c r="C194" s="77" t="s">
        <v>16</v>
      </c>
      <c r="D194" s="658"/>
      <c r="E194" s="47">
        <f t="shared" si="15"/>
        <v>0.4</v>
      </c>
      <c r="F194" s="47">
        <v>0</v>
      </c>
      <c r="G194" s="47">
        <v>0</v>
      </c>
      <c r="H194" s="47">
        <v>0.4</v>
      </c>
      <c r="I194" s="47">
        <v>0</v>
      </c>
      <c r="J194" s="47">
        <v>0</v>
      </c>
      <c r="K194" s="627"/>
    </row>
    <row r="195" spans="1:11" ht="12.75">
      <c r="A195" s="656"/>
      <c r="B195" s="656"/>
      <c r="C195" s="78" t="s">
        <v>17</v>
      </c>
      <c r="D195" s="658"/>
      <c r="E195" s="48">
        <f t="shared" si="15"/>
        <v>0</v>
      </c>
      <c r="F195" s="48">
        <v>0</v>
      </c>
      <c r="G195" s="48">
        <v>0</v>
      </c>
      <c r="H195" s="48">
        <v>0</v>
      </c>
      <c r="I195" s="48">
        <v>0</v>
      </c>
      <c r="J195" s="48">
        <v>0</v>
      </c>
      <c r="K195" s="627"/>
    </row>
    <row r="196" spans="1:11" ht="13.5" customHeight="1">
      <c r="A196" s="656"/>
      <c r="B196" s="656" t="s">
        <v>66</v>
      </c>
      <c r="C196" s="76" t="s">
        <v>14</v>
      </c>
      <c r="D196" s="658">
        <f>E196+E197+E198</f>
        <v>84</v>
      </c>
      <c r="E196" s="46">
        <f t="shared" si="15"/>
        <v>84</v>
      </c>
      <c r="F196" s="46">
        <v>0</v>
      </c>
      <c r="G196" s="46">
        <v>0</v>
      </c>
      <c r="H196" s="46">
        <v>84</v>
      </c>
      <c r="I196" s="46">
        <v>0</v>
      </c>
      <c r="J196" s="46">
        <v>0</v>
      </c>
      <c r="K196" s="627"/>
    </row>
    <row r="197" spans="1:11" ht="12.75">
      <c r="A197" s="656"/>
      <c r="B197" s="656"/>
      <c r="C197" s="77" t="s">
        <v>16</v>
      </c>
      <c r="D197" s="658"/>
      <c r="E197" s="47">
        <f t="shared" si="15"/>
        <v>0</v>
      </c>
      <c r="F197" s="47">
        <v>0</v>
      </c>
      <c r="G197" s="47">
        <v>0</v>
      </c>
      <c r="H197" s="47">
        <v>0</v>
      </c>
      <c r="I197" s="47">
        <v>0</v>
      </c>
      <c r="J197" s="47">
        <v>0</v>
      </c>
      <c r="K197" s="627"/>
    </row>
    <row r="198" spans="1:11" ht="12.75">
      <c r="A198" s="656"/>
      <c r="B198" s="656"/>
      <c r="C198" s="78" t="s">
        <v>17</v>
      </c>
      <c r="D198" s="658"/>
      <c r="E198" s="48">
        <f t="shared" si="15"/>
        <v>0</v>
      </c>
      <c r="F198" s="48">
        <v>0</v>
      </c>
      <c r="G198" s="48">
        <v>0</v>
      </c>
      <c r="H198" s="48">
        <v>0</v>
      </c>
      <c r="I198" s="48">
        <v>0</v>
      </c>
      <c r="J198" s="48">
        <v>0</v>
      </c>
      <c r="K198" s="627"/>
    </row>
    <row r="199" spans="1:11" ht="13.5" customHeight="1">
      <c r="A199" s="656"/>
      <c r="B199" s="656" t="s">
        <v>59</v>
      </c>
      <c r="C199" s="76" t="s">
        <v>14</v>
      </c>
      <c r="D199" s="658">
        <f>E199+E200+E201</f>
        <v>684</v>
      </c>
      <c r="E199" s="46">
        <f t="shared" si="15"/>
        <v>684</v>
      </c>
      <c r="F199" s="46">
        <v>0</v>
      </c>
      <c r="G199" s="46">
        <v>0</v>
      </c>
      <c r="H199" s="46">
        <v>684</v>
      </c>
      <c r="I199" s="46">
        <v>0</v>
      </c>
      <c r="J199" s="46">
        <v>0</v>
      </c>
      <c r="K199" s="627"/>
    </row>
    <row r="200" spans="1:11" ht="12.75">
      <c r="A200" s="656"/>
      <c r="B200" s="656"/>
      <c r="C200" s="77" t="s">
        <v>16</v>
      </c>
      <c r="D200" s="658"/>
      <c r="E200" s="47">
        <f t="shared" si="15"/>
        <v>0</v>
      </c>
      <c r="F200" s="47">
        <v>0</v>
      </c>
      <c r="G200" s="47">
        <v>0</v>
      </c>
      <c r="H200" s="47">
        <v>0</v>
      </c>
      <c r="I200" s="47">
        <v>0</v>
      </c>
      <c r="J200" s="47">
        <v>0</v>
      </c>
      <c r="K200" s="627"/>
    </row>
    <row r="201" spans="1:11" ht="12.75">
      <c r="A201" s="656"/>
      <c r="B201" s="656"/>
      <c r="C201" s="78" t="s">
        <v>17</v>
      </c>
      <c r="D201" s="658"/>
      <c r="E201" s="48">
        <f t="shared" si="15"/>
        <v>0</v>
      </c>
      <c r="F201" s="48">
        <v>0</v>
      </c>
      <c r="G201" s="48"/>
      <c r="H201" s="48">
        <v>0</v>
      </c>
      <c r="I201" s="48">
        <v>0</v>
      </c>
      <c r="J201" s="48">
        <v>0</v>
      </c>
      <c r="K201" s="627"/>
    </row>
    <row r="202" spans="1:11" ht="13.5" customHeight="1">
      <c r="A202" s="656"/>
      <c r="B202" s="656" t="s">
        <v>67</v>
      </c>
      <c r="C202" s="76" t="s">
        <v>14</v>
      </c>
      <c r="D202" s="658">
        <f>E202+E203+E204</f>
        <v>543</v>
      </c>
      <c r="E202" s="46">
        <f t="shared" si="15"/>
        <v>543</v>
      </c>
      <c r="F202" s="46">
        <v>0</v>
      </c>
      <c r="G202" s="46">
        <v>0</v>
      </c>
      <c r="H202" s="46">
        <v>543</v>
      </c>
      <c r="I202" s="46">
        <v>0</v>
      </c>
      <c r="J202" s="46">
        <v>0</v>
      </c>
      <c r="K202" s="627"/>
    </row>
    <row r="203" spans="1:11" ht="12.75">
      <c r="A203" s="656"/>
      <c r="B203" s="656"/>
      <c r="C203" s="77" t="s">
        <v>16</v>
      </c>
      <c r="D203" s="658"/>
      <c r="E203" s="47">
        <f aca="true" t="shared" si="18" ref="E203:E266">SUM(F203:J203)</f>
        <v>0</v>
      </c>
      <c r="F203" s="47">
        <v>0</v>
      </c>
      <c r="G203" s="47">
        <v>0</v>
      </c>
      <c r="H203" s="47">
        <v>0</v>
      </c>
      <c r="I203" s="47">
        <v>0</v>
      </c>
      <c r="J203" s="47">
        <v>0</v>
      </c>
      <c r="K203" s="627"/>
    </row>
    <row r="204" spans="1:11" ht="12.75">
      <c r="A204" s="656"/>
      <c r="B204" s="656"/>
      <c r="C204" s="78" t="s">
        <v>17</v>
      </c>
      <c r="D204" s="658"/>
      <c r="E204" s="48">
        <f t="shared" si="18"/>
        <v>0</v>
      </c>
      <c r="F204" s="48">
        <v>0</v>
      </c>
      <c r="G204" s="48"/>
      <c r="H204" s="48">
        <v>0</v>
      </c>
      <c r="I204" s="48">
        <v>0</v>
      </c>
      <c r="J204" s="48">
        <v>0</v>
      </c>
      <c r="K204" s="627"/>
    </row>
    <row r="205" spans="1:11" ht="13.5" customHeight="1">
      <c r="A205" s="656"/>
      <c r="B205" s="656" t="s">
        <v>54</v>
      </c>
      <c r="C205" s="76" t="s">
        <v>14</v>
      </c>
      <c r="D205" s="657">
        <f>E205+E206+E207</f>
        <v>478</v>
      </c>
      <c r="E205" s="46">
        <f t="shared" si="18"/>
        <v>47.800000000000004</v>
      </c>
      <c r="F205" s="46">
        <v>0</v>
      </c>
      <c r="G205" s="46">
        <v>0</v>
      </c>
      <c r="H205" s="46">
        <v>0</v>
      </c>
      <c r="I205" s="46">
        <v>0</v>
      </c>
      <c r="J205" s="46">
        <f>478*0.1</f>
        <v>47.800000000000004</v>
      </c>
      <c r="K205" s="627"/>
    </row>
    <row r="206" spans="1:11" ht="12.75">
      <c r="A206" s="656"/>
      <c r="B206" s="656"/>
      <c r="C206" s="77" t="s">
        <v>16</v>
      </c>
      <c r="D206" s="657"/>
      <c r="E206" s="47">
        <f t="shared" si="18"/>
        <v>430.2</v>
      </c>
      <c r="F206" s="47">
        <v>0</v>
      </c>
      <c r="G206" s="47">
        <v>0</v>
      </c>
      <c r="H206" s="47">
        <v>0</v>
      </c>
      <c r="I206" s="47">
        <v>0</v>
      </c>
      <c r="J206" s="47">
        <f>478*0.9</f>
        <v>430.2</v>
      </c>
      <c r="K206" s="627"/>
    </row>
    <row r="207" spans="1:11" ht="12.75">
      <c r="A207" s="656"/>
      <c r="B207" s="656"/>
      <c r="C207" s="78" t="s">
        <v>17</v>
      </c>
      <c r="D207" s="657"/>
      <c r="E207" s="48">
        <f t="shared" si="18"/>
        <v>0</v>
      </c>
      <c r="F207" s="48">
        <v>0</v>
      </c>
      <c r="G207" s="48">
        <v>0</v>
      </c>
      <c r="H207" s="48">
        <v>0</v>
      </c>
      <c r="I207" s="48">
        <v>0</v>
      </c>
      <c r="J207" s="48">
        <v>0</v>
      </c>
      <c r="K207" s="627"/>
    </row>
    <row r="208" spans="1:11" ht="13.5" customHeight="1">
      <c r="A208" s="656"/>
      <c r="B208" s="656" t="s">
        <v>60</v>
      </c>
      <c r="C208" s="76" t="s">
        <v>14</v>
      </c>
      <c r="D208" s="658">
        <f>E208+E209+E210</f>
        <v>1684</v>
      </c>
      <c r="E208" s="46">
        <f t="shared" si="18"/>
        <v>1684</v>
      </c>
      <c r="F208" s="46">
        <v>0</v>
      </c>
      <c r="G208" s="46">
        <v>0</v>
      </c>
      <c r="H208" s="46">
        <v>0</v>
      </c>
      <c r="I208" s="46">
        <v>1684</v>
      </c>
      <c r="J208" s="46">
        <v>0</v>
      </c>
      <c r="K208" s="627"/>
    </row>
    <row r="209" spans="1:11" ht="12.75">
      <c r="A209" s="656"/>
      <c r="B209" s="656"/>
      <c r="C209" s="77" t="s">
        <v>16</v>
      </c>
      <c r="D209" s="658"/>
      <c r="E209" s="47">
        <f t="shared" si="18"/>
        <v>0</v>
      </c>
      <c r="F209" s="47">
        <v>0</v>
      </c>
      <c r="G209" s="47">
        <v>0</v>
      </c>
      <c r="H209" s="47">
        <v>0</v>
      </c>
      <c r="I209" s="47">
        <v>0</v>
      </c>
      <c r="J209" s="47">
        <v>0</v>
      </c>
      <c r="K209" s="627"/>
    </row>
    <row r="210" spans="1:11" ht="12.75">
      <c r="A210" s="656"/>
      <c r="B210" s="656"/>
      <c r="C210" s="78" t="s">
        <v>17</v>
      </c>
      <c r="D210" s="658"/>
      <c r="E210" s="48">
        <f t="shared" si="18"/>
        <v>0</v>
      </c>
      <c r="F210" s="48">
        <v>0</v>
      </c>
      <c r="G210" s="48">
        <v>0</v>
      </c>
      <c r="H210" s="48">
        <v>0</v>
      </c>
      <c r="I210" s="48"/>
      <c r="J210" s="48">
        <v>0</v>
      </c>
      <c r="K210" s="627"/>
    </row>
    <row r="211" spans="1:11" ht="13.5" customHeight="1">
      <c r="A211" s="656"/>
      <c r="B211" s="656" t="s">
        <v>61</v>
      </c>
      <c r="C211" s="76" t="s">
        <v>14</v>
      </c>
      <c r="D211" s="658">
        <f>E211+E212+E213</f>
        <v>1453</v>
      </c>
      <c r="E211" s="46">
        <f t="shared" si="18"/>
        <v>1453</v>
      </c>
      <c r="F211" s="46">
        <v>0</v>
      </c>
      <c r="G211" s="46">
        <v>0</v>
      </c>
      <c r="H211" s="46">
        <v>0</v>
      </c>
      <c r="I211" s="46">
        <v>1453</v>
      </c>
      <c r="J211" s="46">
        <v>0</v>
      </c>
      <c r="K211" s="627"/>
    </row>
    <row r="212" spans="1:11" ht="12.75">
      <c r="A212" s="656"/>
      <c r="B212" s="656"/>
      <c r="C212" s="77" t="s">
        <v>16</v>
      </c>
      <c r="D212" s="658"/>
      <c r="E212" s="47">
        <f t="shared" si="18"/>
        <v>0</v>
      </c>
      <c r="F212" s="47">
        <v>0</v>
      </c>
      <c r="G212" s="47">
        <v>0</v>
      </c>
      <c r="H212" s="47">
        <v>0</v>
      </c>
      <c r="I212" s="47">
        <v>0</v>
      </c>
      <c r="J212" s="47">
        <v>0</v>
      </c>
      <c r="K212" s="627"/>
    </row>
    <row r="213" spans="1:11" ht="12.75">
      <c r="A213" s="656"/>
      <c r="B213" s="656"/>
      <c r="C213" s="78" t="s">
        <v>17</v>
      </c>
      <c r="D213" s="658"/>
      <c r="E213" s="48">
        <f t="shared" si="18"/>
        <v>0</v>
      </c>
      <c r="F213" s="48">
        <v>0</v>
      </c>
      <c r="G213" s="48">
        <v>0</v>
      </c>
      <c r="H213" s="48">
        <v>0</v>
      </c>
      <c r="I213" s="48"/>
      <c r="J213" s="48">
        <v>0</v>
      </c>
      <c r="K213" s="627"/>
    </row>
    <row r="214" spans="1:11" ht="13.5" customHeight="1">
      <c r="A214" s="656"/>
      <c r="B214" s="656" t="s">
        <v>62</v>
      </c>
      <c r="C214" s="76" t="s">
        <v>14</v>
      </c>
      <c r="D214" s="658">
        <f>E214+E215+E216</f>
        <v>461</v>
      </c>
      <c r="E214" s="46">
        <f t="shared" si="18"/>
        <v>461</v>
      </c>
      <c r="F214" s="46">
        <v>0</v>
      </c>
      <c r="G214" s="46">
        <v>0</v>
      </c>
      <c r="H214" s="46">
        <v>0</v>
      </c>
      <c r="I214" s="46">
        <v>461</v>
      </c>
      <c r="J214" s="46">
        <v>0</v>
      </c>
      <c r="K214" s="627"/>
    </row>
    <row r="215" spans="1:11" ht="12.75">
      <c r="A215" s="656"/>
      <c r="B215" s="656"/>
      <c r="C215" s="77" t="s">
        <v>16</v>
      </c>
      <c r="D215" s="658"/>
      <c r="E215" s="47">
        <f t="shared" si="18"/>
        <v>0</v>
      </c>
      <c r="F215" s="47">
        <v>0</v>
      </c>
      <c r="G215" s="47">
        <v>0</v>
      </c>
      <c r="H215" s="47">
        <v>0</v>
      </c>
      <c r="I215" s="47">
        <v>0</v>
      </c>
      <c r="J215" s="47">
        <v>0</v>
      </c>
      <c r="K215" s="627"/>
    </row>
    <row r="216" spans="1:11" ht="12.75">
      <c r="A216" s="656"/>
      <c r="B216" s="656"/>
      <c r="C216" s="78" t="s">
        <v>17</v>
      </c>
      <c r="D216" s="658"/>
      <c r="E216" s="48">
        <f t="shared" si="18"/>
        <v>0</v>
      </c>
      <c r="F216" s="48">
        <v>0</v>
      </c>
      <c r="G216" s="48">
        <v>0</v>
      </c>
      <c r="H216" s="48">
        <v>0</v>
      </c>
      <c r="I216" s="48"/>
      <c r="J216" s="48">
        <v>0</v>
      </c>
      <c r="K216" s="627"/>
    </row>
    <row r="217" spans="1:11" ht="13.5" customHeight="1">
      <c r="A217" s="654">
        <v>23</v>
      </c>
      <c r="B217" s="654" t="s">
        <v>68</v>
      </c>
      <c r="C217" s="73" t="s">
        <v>14</v>
      </c>
      <c r="D217" s="655">
        <f>E217+E218+E219</f>
        <v>18578.02</v>
      </c>
      <c r="E217" s="17">
        <f t="shared" si="18"/>
        <v>18056.022</v>
      </c>
      <c r="F217" s="17">
        <f aca="true" t="shared" si="19" ref="F217:J219">F220+F223+F226+F229+F232+F235+F238+F241+F244+F247</f>
        <v>0</v>
      </c>
      <c r="G217" s="17">
        <f t="shared" si="19"/>
        <v>0</v>
      </c>
      <c r="H217" s="17">
        <f t="shared" si="19"/>
        <v>11567</v>
      </c>
      <c r="I217" s="17">
        <f t="shared" si="19"/>
        <v>6489.022</v>
      </c>
      <c r="J217" s="17">
        <f t="shared" si="19"/>
        <v>0</v>
      </c>
      <c r="K217" s="627"/>
    </row>
    <row r="218" spans="1:11" ht="12.75">
      <c r="A218" s="654"/>
      <c r="B218" s="654"/>
      <c r="C218" s="74" t="s">
        <v>16</v>
      </c>
      <c r="D218" s="655"/>
      <c r="E218" s="21">
        <f t="shared" si="18"/>
        <v>521.998</v>
      </c>
      <c r="F218" s="21">
        <f t="shared" si="19"/>
        <v>0</v>
      </c>
      <c r="G218" s="21">
        <f t="shared" si="19"/>
        <v>0</v>
      </c>
      <c r="H218" s="21">
        <f t="shared" si="19"/>
        <v>422.8</v>
      </c>
      <c r="I218" s="21">
        <f t="shared" si="19"/>
        <v>99.19800000000001</v>
      </c>
      <c r="J218" s="21">
        <f t="shared" si="19"/>
        <v>0</v>
      </c>
      <c r="K218" s="627"/>
    </row>
    <row r="219" spans="1:11" ht="12.75">
      <c r="A219" s="654"/>
      <c r="B219" s="654"/>
      <c r="C219" s="75" t="s">
        <v>17</v>
      </c>
      <c r="D219" s="655"/>
      <c r="E219" s="25">
        <f t="shared" si="18"/>
        <v>0</v>
      </c>
      <c r="F219" s="25">
        <f t="shared" si="19"/>
        <v>0</v>
      </c>
      <c r="G219" s="25">
        <f t="shared" si="19"/>
        <v>0</v>
      </c>
      <c r="H219" s="25">
        <f t="shared" si="19"/>
        <v>0</v>
      </c>
      <c r="I219" s="25">
        <f t="shared" si="19"/>
        <v>0</v>
      </c>
      <c r="J219" s="25">
        <f t="shared" si="19"/>
        <v>0</v>
      </c>
      <c r="K219" s="627"/>
    </row>
    <row r="220" spans="1:11" ht="15.75" customHeight="1">
      <c r="A220" s="656"/>
      <c r="B220" s="656" t="s">
        <v>69</v>
      </c>
      <c r="C220" s="76" t="s">
        <v>14</v>
      </c>
      <c r="D220" s="658">
        <f>E220+E221+E222</f>
        <v>1811</v>
      </c>
      <c r="E220" s="46">
        <f t="shared" si="18"/>
        <v>1811</v>
      </c>
      <c r="F220" s="46">
        <v>0</v>
      </c>
      <c r="G220" s="46">
        <v>0</v>
      </c>
      <c r="H220" s="46">
        <v>1811</v>
      </c>
      <c r="I220" s="46">
        <v>0</v>
      </c>
      <c r="J220" s="46">
        <v>0</v>
      </c>
      <c r="K220" s="627"/>
    </row>
    <row r="221" spans="1:11" ht="12.75">
      <c r="A221" s="656"/>
      <c r="B221" s="656"/>
      <c r="C221" s="77" t="s">
        <v>16</v>
      </c>
      <c r="D221" s="658"/>
      <c r="E221" s="47">
        <f t="shared" si="18"/>
        <v>0</v>
      </c>
      <c r="F221" s="47">
        <v>0</v>
      </c>
      <c r="G221" s="47">
        <v>0</v>
      </c>
      <c r="H221" s="47">
        <v>0</v>
      </c>
      <c r="I221" s="47">
        <v>0</v>
      </c>
      <c r="J221" s="47">
        <v>0</v>
      </c>
      <c r="K221" s="627"/>
    </row>
    <row r="222" spans="1:11" ht="12.75">
      <c r="A222" s="656"/>
      <c r="B222" s="656"/>
      <c r="C222" s="78" t="s">
        <v>17</v>
      </c>
      <c r="D222" s="658"/>
      <c r="E222" s="48">
        <f t="shared" si="18"/>
        <v>0</v>
      </c>
      <c r="F222" s="48">
        <v>0</v>
      </c>
      <c r="G222" s="48">
        <v>0</v>
      </c>
      <c r="H222" s="48"/>
      <c r="I222" s="48">
        <v>0</v>
      </c>
      <c r="J222" s="48">
        <v>0</v>
      </c>
      <c r="K222" s="627"/>
    </row>
    <row r="223" spans="1:11" ht="13.5" customHeight="1">
      <c r="A223" s="656"/>
      <c r="B223" s="656" t="s">
        <v>58</v>
      </c>
      <c r="C223" s="76" t="s">
        <v>14</v>
      </c>
      <c r="D223" s="658">
        <f>E223+E224+E225</f>
        <v>3414</v>
      </c>
      <c r="E223" s="46">
        <f t="shared" si="18"/>
        <v>3414</v>
      </c>
      <c r="F223" s="46">
        <v>0</v>
      </c>
      <c r="G223" s="46">
        <v>0</v>
      </c>
      <c r="H223" s="46">
        <v>3414</v>
      </c>
      <c r="I223" s="46">
        <v>0</v>
      </c>
      <c r="J223" s="46">
        <v>0</v>
      </c>
      <c r="K223" s="627"/>
    </row>
    <row r="224" spans="1:11" ht="12.75">
      <c r="A224" s="656"/>
      <c r="B224" s="656"/>
      <c r="C224" s="77" t="s">
        <v>16</v>
      </c>
      <c r="D224" s="658"/>
      <c r="E224" s="47">
        <f t="shared" si="18"/>
        <v>0</v>
      </c>
      <c r="F224" s="47">
        <v>0</v>
      </c>
      <c r="G224" s="47">
        <v>0</v>
      </c>
      <c r="H224" s="47">
        <v>0</v>
      </c>
      <c r="I224" s="47">
        <v>0</v>
      </c>
      <c r="J224" s="47">
        <v>0</v>
      </c>
      <c r="K224" s="627"/>
    </row>
    <row r="225" spans="1:11" ht="12.75">
      <c r="A225" s="656"/>
      <c r="B225" s="656"/>
      <c r="C225" s="78" t="s">
        <v>17</v>
      </c>
      <c r="D225" s="658"/>
      <c r="E225" s="48">
        <f t="shared" si="18"/>
        <v>0</v>
      </c>
      <c r="F225" s="48">
        <v>0</v>
      </c>
      <c r="G225" s="48">
        <v>0</v>
      </c>
      <c r="H225" s="48"/>
      <c r="I225" s="48">
        <v>0</v>
      </c>
      <c r="J225" s="48">
        <v>0</v>
      </c>
      <c r="K225" s="627"/>
    </row>
    <row r="226" spans="1:11" ht="15.75" customHeight="1">
      <c r="A226" s="656"/>
      <c r="B226" s="656" t="s">
        <v>65</v>
      </c>
      <c r="C226" s="76" t="s">
        <v>14</v>
      </c>
      <c r="D226" s="658">
        <f>E226+E227+E228</f>
        <v>4193</v>
      </c>
      <c r="E226" s="46">
        <f t="shared" si="18"/>
        <v>4193</v>
      </c>
      <c r="F226" s="46">
        <v>0</v>
      </c>
      <c r="G226" s="46">
        <v>0</v>
      </c>
      <c r="H226" s="46">
        <v>4193</v>
      </c>
      <c r="I226" s="46">
        <v>0</v>
      </c>
      <c r="J226" s="46">
        <v>0</v>
      </c>
      <c r="K226" s="627"/>
    </row>
    <row r="227" spans="1:11" ht="12.75">
      <c r="A227" s="656"/>
      <c r="B227" s="656"/>
      <c r="C227" s="77" t="s">
        <v>16</v>
      </c>
      <c r="D227" s="658"/>
      <c r="E227" s="47">
        <f t="shared" si="18"/>
        <v>0</v>
      </c>
      <c r="F227" s="47">
        <v>0</v>
      </c>
      <c r="G227" s="47">
        <v>0</v>
      </c>
      <c r="H227" s="47">
        <v>0</v>
      </c>
      <c r="I227" s="47">
        <v>0</v>
      </c>
      <c r="J227" s="47">
        <v>0</v>
      </c>
      <c r="K227" s="627"/>
    </row>
    <row r="228" spans="1:11" ht="12.75">
      <c r="A228" s="656"/>
      <c r="B228" s="656"/>
      <c r="C228" s="78" t="s">
        <v>17</v>
      </c>
      <c r="D228" s="658"/>
      <c r="E228" s="48">
        <f t="shared" si="18"/>
        <v>0</v>
      </c>
      <c r="F228" s="48">
        <v>0</v>
      </c>
      <c r="G228" s="48">
        <v>0</v>
      </c>
      <c r="H228" s="48">
        <v>0</v>
      </c>
      <c r="I228" s="48">
        <v>0</v>
      </c>
      <c r="J228" s="48">
        <v>0</v>
      </c>
      <c r="K228" s="627"/>
    </row>
    <row r="229" spans="1:11" ht="13.5" customHeight="1">
      <c r="A229" s="656"/>
      <c r="B229" s="656" t="s">
        <v>66</v>
      </c>
      <c r="C229" s="76" t="s">
        <v>14</v>
      </c>
      <c r="D229" s="658">
        <f>E229+E230+E231</f>
        <v>210</v>
      </c>
      <c r="E229" s="46">
        <f t="shared" si="18"/>
        <v>210</v>
      </c>
      <c r="F229" s="46">
        <v>0</v>
      </c>
      <c r="G229" s="46">
        <v>0</v>
      </c>
      <c r="H229" s="46">
        <v>210</v>
      </c>
      <c r="I229" s="46">
        <v>0</v>
      </c>
      <c r="J229" s="46">
        <v>0</v>
      </c>
      <c r="K229" s="627"/>
    </row>
    <row r="230" spans="1:11" ht="13.5" thickBot="1">
      <c r="A230" s="656"/>
      <c r="B230" s="656"/>
      <c r="C230" s="77" t="s">
        <v>16</v>
      </c>
      <c r="D230" s="658"/>
      <c r="E230" s="47">
        <f t="shared" si="18"/>
        <v>0</v>
      </c>
      <c r="F230" s="47">
        <v>0</v>
      </c>
      <c r="G230" s="47">
        <v>0</v>
      </c>
      <c r="H230" s="47">
        <v>0</v>
      </c>
      <c r="I230" s="47">
        <v>0</v>
      </c>
      <c r="J230" s="47">
        <v>0</v>
      </c>
      <c r="K230" s="627"/>
    </row>
    <row r="231" spans="1:11" ht="16.5" customHeight="1" thickBot="1">
      <c r="A231" s="656"/>
      <c r="B231" s="656"/>
      <c r="C231" s="78" t="s">
        <v>17</v>
      </c>
      <c r="D231" s="658"/>
      <c r="E231" s="48">
        <f t="shared" si="18"/>
        <v>0</v>
      </c>
      <c r="F231" s="48">
        <v>0</v>
      </c>
      <c r="G231" s="48">
        <v>0</v>
      </c>
      <c r="H231" s="48">
        <v>0</v>
      </c>
      <c r="I231" s="48">
        <v>0</v>
      </c>
      <c r="J231" s="48">
        <v>0</v>
      </c>
      <c r="K231" s="627"/>
    </row>
    <row r="232" spans="1:11" ht="13.5" customHeight="1" thickBot="1">
      <c r="A232" s="656"/>
      <c r="B232" s="656" t="s">
        <v>59</v>
      </c>
      <c r="C232" s="76" t="s">
        <v>14</v>
      </c>
      <c r="D232" s="658">
        <f>E232+E233+E234</f>
        <v>1004</v>
      </c>
      <c r="E232" s="46">
        <f t="shared" si="18"/>
        <v>1004</v>
      </c>
      <c r="F232" s="46">
        <v>0</v>
      </c>
      <c r="G232" s="46">
        <v>0</v>
      </c>
      <c r="H232" s="46">
        <v>1004</v>
      </c>
      <c r="I232" s="46">
        <v>0</v>
      </c>
      <c r="J232" s="46">
        <v>0</v>
      </c>
      <c r="K232" s="627"/>
    </row>
    <row r="233" spans="1:11" ht="13.5" thickBot="1">
      <c r="A233" s="656"/>
      <c r="B233" s="656"/>
      <c r="C233" s="77" t="s">
        <v>16</v>
      </c>
      <c r="D233" s="658"/>
      <c r="E233" s="47">
        <f t="shared" si="18"/>
        <v>0</v>
      </c>
      <c r="F233" s="47">
        <v>0</v>
      </c>
      <c r="G233" s="47">
        <v>0</v>
      </c>
      <c r="H233" s="47">
        <v>0</v>
      </c>
      <c r="I233" s="47">
        <v>0</v>
      </c>
      <c r="J233" s="47">
        <v>0</v>
      </c>
      <c r="K233" s="627"/>
    </row>
    <row r="234" spans="1:11" ht="13.5" thickBot="1">
      <c r="A234" s="656"/>
      <c r="B234" s="656"/>
      <c r="C234" s="78" t="s">
        <v>17</v>
      </c>
      <c r="D234" s="658"/>
      <c r="E234" s="48">
        <f t="shared" si="18"/>
        <v>0</v>
      </c>
      <c r="F234" s="48">
        <v>0</v>
      </c>
      <c r="G234" s="48">
        <v>0</v>
      </c>
      <c r="H234" s="48">
        <v>0</v>
      </c>
      <c r="I234" s="48">
        <v>0</v>
      </c>
      <c r="J234" s="48">
        <v>0</v>
      </c>
      <c r="K234" s="627"/>
    </row>
    <row r="235" spans="1:11" ht="13.5" customHeight="1">
      <c r="A235" s="656"/>
      <c r="B235" s="656" t="s">
        <v>67</v>
      </c>
      <c r="C235" s="76" t="s">
        <v>14</v>
      </c>
      <c r="D235" s="658">
        <f>E235+E236+E237</f>
        <v>888</v>
      </c>
      <c r="E235" s="46">
        <f t="shared" si="18"/>
        <v>888</v>
      </c>
      <c r="F235" s="46">
        <v>0</v>
      </c>
      <c r="G235" s="46">
        <v>0</v>
      </c>
      <c r="H235" s="46">
        <v>888</v>
      </c>
      <c r="I235" s="46">
        <v>0</v>
      </c>
      <c r="J235" s="46">
        <v>0</v>
      </c>
      <c r="K235" s="627"/>
    </row>
    <row r="236" spans="1:11" ht="12.75">
      <c r="A236" s="656"/>
      <c r="B236" s="656"/>
      <c r="C236" s="77" t="s">
        <v>16</v>
      </c>
      <c r="D236" s="658"/>
      <c r="E236" s="47">
        <f t="shared" si="18"/>
        <v>0</v>
      </c>
      <c r="F236" s="47">
        <v>0</v>
      </c>
      <c r="G236" s="47">
        <v>0</v>
      </c>
      <c r="H236" s="47">
        <v>0</v>
      </c>
      <c r="I236" s="47">
        <v>0</v>
      </c>
      <c r="J236" s="47">
        <v>0</v>
      </c>
      <c r="K236" s="627"/>
    </row>
    <row r="237" spans="1:11" ht="12.75">
      <c r="A237" s="656"/>
      <c r="B237" s="656"/>
      <c r="C237" s="78" t="s">
        <v>17</v>
      </c>
      <c r="D237" s="658"/>
      <c r="E237" s="48">
        <f t="shared" si="18"/>
        <v>0</v>
      </c>
      <c r="F237" s="48">
        <v>0</v>
      </c>
      <c r="G237" s="48">
        <v>0</v>
      </c>
      <c r="H237" s="48">
        <v>0</v>
      </c>
      <c r="I237" s="48">
        <v>0</v>
      </c>
      <c r="J237" s="48">
        <v>0</v>
      </c>
      <c r="K237" s="627"/>
    </row>
    <row r="238" spans="1:11" ht="13.5" customHeight="1">
      <c r="A238" s="656"/>
      <c r="B238" s="656" t="s">
        <v>54</v>
      </c>
      <c r="C238" s="76" t="s">
        <v>14</v>
      </c>
      <c r="D238" s="658">
        <f>E238+E239+E240</f>
        <v>580.0200000000001</v>
      </c>
      <c r="E238" s="46">
        <f t="shared" si="18"/>
        <v>58.022</v>
      </c>
      <c r="F238" s="79">
        <v>0</v>
      </c>
      <c r="G238" s="79">
        <v>0</v>
      </c>
      <c r="H238" s="46">
        <v>47</v>
      </c>
      <c r="I238" s="79">
        <f>110.22*0.1</f>
        <v>11.022</v>
      </c>
      <c r="J238" s="46">
        <v>0</v>
      </c>
      <c r="K238" s="627"/>
    </row>
    <row r="239" spans="1:11" ht="12.75">
      <c r="A239" s="656"/>
      <c r="B239" s="656"/>
      <c r="C239" s="77" t="s">
        <v>16</v>
      </c>
      <c r="D239" s="658"/>
      <c r="E239" s="47">
        <f t="shared" si="18"/>
        <v>521.998</v>
      </c>
      <c r="F239" s="80">
        <v>0</v>
      </c>
      <c r="G239" s="80">
        <v>0</v>
      </c>
      <c r="H239" s="47">
        <v>422.8</v>
      </c>
      <c r="I239" s="80">
        <f>110.22*0.9</f>
        <v>99.19800000000001</v>
      </c>
      <c r="J239" s="47">
        <v>0</v>
      </c>
      <c r="K239" s="627"/>
    </row>
    <row r="240" spans="1:11" ht="12.75">
      <c r="A240" s="656"/>
      <c r="B240" s="656"/>
      <c r="C240" s="78" t="s">
        <v>17</v>
      </c>
      <c r="D240" s="658"/>
      <c r="E240" s="48">
        <f t="shared" si="18"/>
        <v>0</v>
      </c>
      <c r="F240" s="81">
        <v>0</v>
      </c>
      <c r="G240" s="81">
        <v>0</v>
      </c>
      <c r="H240" s="48">
        <v>0</v>
      </c>
      <c r="I240" s="48">
        <v>0</v>
      </c>
      <c r="J240" s="48">
        <v>0</v>
      </c>
      <c r="K240" s="627"/>
    </row>
    <row r="241" spans="1:11" ht="13.5" customHeight="1">
      <c r="A241" s="656"/>
      <c r="B241" s="656" t="s">
        <v>60</v>
      </c>
      <c r="C241" s="76" t="s">
        <v>14</v>
      </c>
      <c r="D241" s="658">
        <f>E241+E242+E243</f>
        <v>3050</v>
      </c>
      <c r="E241" s="46">
        <f t="shared" si="18"/>
        <v>3050</v>
      </c>
      <c r="F241" s="46">
        <v>0</v>
      </c>
      <c r="G241" s="46">
        <v>0</v>
      </c>
      <c r="H241" s="46">
        <v>0</v>
      </c>
      <c r="I241" s="46">
        <v>3050</v>
      </c>
      <c r="J241" s="46">
        <v>0</v>
      </c>
      <c r="K241" s="627"/>
    </row>
    <row r="242" spans="1:11" ht="12.75">
      <c r="A242" s="656"/>
      <c r="B242" s="656"/>
      <c r="C242" s="77" t="s">
        <v>16</v>
      </c>
      <c r="D242" s="658"/>
      <c r="E242" s="47">
        <f t="shared" si="18"/>
        <v>0</v>
      </c>
      <c r="F242" s="47">
        <v>0</v>
      </c>
      <c r="G242" s="47">
        <v>0</v>
      </c>
      <c r="H242" s="47">
        <v>0</v>
      </c>
      <c r="I242" s="47">
        <v>0</v>
      </c>
      <c r="J242" s="47">
        <v>0</v>
      </c>
      <c r="K242" s="627"/>
    </row>
    <row r="243" spans="1:11" ht="12.75">
      <c r="A243" s="656"/>
      <c r="B243" s="656"/>
      <c r="C243" s="78" t="s">
        <v>17</v>
      </c>
      <c r="D243" s="658"/>
      <c r="E243" s="48">
        <f t="shared" si="18"/>
        <v>0</v>
      </c>
      <c r="F243" s="48">
        <v>0</v>
      </c>
      <c r="G243" s="48">
        <v>0</v>
      </c>
      <c r="H243" s="48">
        <v>0</v>
      </c>
      <c r="I243" s="48"/>
      <c r="J243" s="48">
        <v>0</v>
      </c>
      <c r="K243" s="627"/>
    </row>
    <row r="244" spans="1:11" ht="13.5" customHeight="1">
      <c r="A244" s="656"/>
      <c r="B244" s="656" t="s">
        <v>61</v>
      </c>
      <c r="C244" s="76" t="s">
        <v>14</v>
      </c>
      <c r="D244" s="658">
        <f>E244+E245+E246</f>
        <v>2876</v>
      </c>
      <c r="E244" s="46">
        <f t="shared" si="18"/>
        <v>2876</v>
      </c>
      <c r="F244" s="46">
        <v>0</v>
      </c>
      <c r="G244" s="46">
        <v>0</v>
      </c>
      <c r="H244" s="46">
        <v>0</v>
      </c>
      <c r="I244" s="46">
        <v>2876</v>
      </c>
      <c r="J244" s="46">
        <v>0</v>
      </c>
      <c r="K244" s="627"/>
    </row>
    <row r="245" spans="1:11" ht="12.75">
      <c r="A245" s="656"/>
      <c r="B245" s="656"/>
      <c r="C245" s="77" t="s">
        <v>16</v>
      </c>
      <c r="D245" s="658"/>
      <c r="E245" s="47">
        <f t="shared" si="18"/>
        <v>0</v>
      </c>
      <c r="F245" s="47">
        <v>0</v>
      </c>
      <c r="G245" s="47">
        <v>0</v>
      </c>
      <c r="H245" s="47">
        <v>0</v>
      </c>
      <c r="I245" s="47">
        <v>0</v>
      </c>
      <c r="J245" s="47">
        <v>0</v>
      </c>
      <c r="K245" s="627"/>
    </row>
    <row r="246" spans="1:11" ht="12.75">
      <c r="A246" s="656"/>
      <c r="B246" s="656"/>
      <c r="C246" s="78" t="s">
        <v>17</v>
      </c>
      <c r="D246" s="658"/>
      <c r="E246" s="48">
        <f t="shared" si="18"/>
        <v>0</v>
      </c>
      <c r="F246" s="48">
        <v>0</v>
      </c>
      <c r="G246" s="48">
        <v>0</v>
      </c>
      <c r="H246" s="48">
        <v>0</v>
      </c>
      <c r="I246" s="48">
        <v>0</v>
      </c>
      <c r="J246" s="48">
        <v>0</v>
      </c>
      <c r="K246" s="627"/>
    </row>
    <row r="247" spans="1:11" ht="13.5" customHeight="1">
      <c r="A247" s="656"/>
      <c r="B247" s="656" t="s">
        <v>62</v>
      </c>
      <c r="C247" s="76" t="s">
        <v>14</v>
      </c>
      <c r="D247" s="658">
        <f>E247+E248+E249</f>
        <v>552</v>
      </c>
      <c r="E247" s="46">
        <f t="shared" si="18"/>
        <v>552</v>
      </c>
      <c r="F247" s="46">
        <v>0</v>
      </c>
      <c r="G247" s="46">
        <v>0</v>
      </c>
      <c r="H247" s="46">
        <v>0</v>
      </c>
      <c r="I247" s="46">
        <v>552</v>
      </c>
      <c r="J247" s="46">
        <v>0</v>
      </c>
      <c r="K247" s="627"/>
    </row>
    <row r="248" spans="1:11" ht="12.75">
      <c r="A248" s="656"/>
      <c r="B248" s="656"/>
      <c r="C248" s="77" t="s">
        <v>16</v>
      </c>
      <c r="D248" s="658"/>
      <c r="E248" s="47">
        <f t="shared" si="18"/>
        <v>0</v>
      </c>
      <c r="F248" s="47">
        <v>0</v>
      </c>
      <c r="G248" s="47">
        <v>0</v>
      </c>
      <c r="H248" s="47">
        <v>0</v>
      </c>
      <c r="I248" s="47">
        <v>0</v>
      </c>
      <c r="J248" s="47">
        <v>0</v>
      </c>
      <c r="K248" s="627"/>
    </row>
    <row r="249" spans="1:11" ht="12.75">
      <c r="A249" s="656"/>
      <c r="B249" s="656"/>
      <c r="C249" s="78" t="s">
        <v>17</v>
      </c>
      <c r="D249" s="658"/>
      <c r="E249" s="48">
        <f t="shared" si="18"/>
        <v>0</v>
      </c>
      <c r="F249" s="48">
        <v>0</v>
      </c>
      <c r="G249" s="48">
        <v>0</v>
      </c>
      <c r="H249" s="48">
        <v>0</v>
      </c>
      <c r="I249" s="48">
        <v>0</v>
      </c>
      <c r="J249" s="48">
        <v>0</v>
      </c>
      <c r="K249" s="627"/>
    </row>
    <row r="250" spans="1:11" ht="13.5" customHeight="1">
      <c r="A250" s="654">
        <v>24</v>
      </c>
      <c r="B250" s="654" t="s">
        <v>70</v>
      </c>
      <c r="C250" s="73" t="s">
        <v>14</v>
      </c>
      <c r="D250" s="655">
        <f>E250+E251+E252</f>
        <v>15417</v>
      </c>
      <c r="E250" s="17">
        <f t="shared" si="18"/>
        <v>15054.3</v>
      </c>
      <c r="F250" s="17">
        <f aca="true" t="shared" si="20" ref="F250:J252">F253+F256+F259+F262+F265+F268+F271+F274+F277+F280</f>
        <v>0</v>
      </c>
      <c r="G250" s="17">
        <f t="shared" si="20"/>
        <v>0</v>
      </c>
      <c r="H250" s="17">
        <f t="shared" si="20"/>
        <v>9978.3</v>
      </c>
      <c r="I250" s="17">
        <f t="shared" si="20"/>
        <v>0</v>
      </c>
      <c r="J250" s="17">
        <f t="shared" si="20"/>
        <v>5076</v>
      </c>
      <c r="K250" s="627"/>
    </row>
    <row r="251" spans="1:11" ht="12.75">
      <c r="A251" s="654"/>
      <c r="B251" s="654"/>
      <c r="C251" s="74" t="s">
        <v>16</v>
      </c>
      <c r="D251" s="655"/>
      <c r="E251" s="21">
        <f t="shared" si="18"/>
        <v>362.7</v>
      </c>
      <c r="F251" s="21">
        <f t="shared" si="20"/>
        <v>0</v>
      </c>
      <c r="G251" s="21">
        <f t="shared" si="20"/>
        <v>0</v>
      </c>
      <c r="H251" s="21">
        <f t="shared" si="20"/>
        <v>362.7</v>
      </c>
      <c r="I251" s="21">
        <f t="shared" si="20"/>
        <v>0</v>
      </c>
      <c r="J251" s="21">
        <f t="shared" si="20"/>
        <v>0</v>
      </c>
      <c r="K251" s="627"/>
    </row>
    <row r="252" spans="1:11" ht="12.75">
      <c r="A252" s="654"/>
      <c r="B252" s="654"/>
      <c r="C252" s="75" t="s">
        <v>17</v>
      </c>
      <c r="D252" s="655"/>
      <c r="E252" s="25">
        <f t="shared" si="18"/>
        <v>0</v>
      </c>
      <c r="F252" s="25">
        <f t="shared" si="20"/>
        <v>0</v>
      </c>
      <c r="G252" s="25">
        <f t="shared" si="20"/>
        <v>0</v>
      </c>
      <c r="H252" s="25">
        <f t="shared" si="20"/>
        <v>0</v>
      </c>
      <c r="I252" s="25">
        <f t="shared" si="20"/>
        <v>0</v>
      </c>
      <c r="J252" s="25">
        <f t="shared" si="20"/>
        <v>0</v>
      </c>
      <c r="K252" s="627"/>
    </row>
    <row r="253" spans="1:11" ht="13.5" customHeight="1">
      <c r="A253" s="656"/>
      <c r="B253" s="656" t="s">
        <v>64</v>
      </c>
      <c r="C253" s="76" t="s">
        <v>14</v>
      </c>
      <c r="D253" s="658">
        <f>E253+E254+E255</f>
        <v>1402</v>
      </c>
      <c r="E253" s="46">
        <f t="shared" si="18"/>
        <v>1402</v>
      </c>
      <c r="F253" s="46">
        <v>0</v>
      </c>
      <c r="G253" s="46">
        <v>0</v>
      </c>
      <c r="H253" s="46">
        <v>1402</v>
      </c>
      <c r="I253" s="46">
        <v>0</v>
      </c>
      <c r="J253" s="46">
        <v>0</v>
      </c>
      <c r="K253" s="627"/>
    </row>
    <row r="254" spans="1:11" ht="12.75">
      <c r="A254" s="656"/>
      <c r="B254" s="656"/>
      <c r="C254" s="77" t="s">
        <v>16</v>
      </c>
      <c r="D254" s="658"/>
      <c r="E254" s="47">
        <f t="shared" si="18"/>
        <v>0</v>
      </c>
      <c r="F254" s="47">
        <v>0</v>
      </c>
      <c r="G254" s="47">
        <v>0</v>
      </c>
      <c r="H254" s="47">
        <v>0</v>
      </c>
      <c r="I254" s="47">
        <v>0</v>
      </c>
      <c r="J254" s="47">
        <v>0</v>
      </c>
      <c r="K254" s="627"/>
    </row>
    <row r="255" spans="1:11" ht="12.75">
      <c r="A255" s="656"/>
      <c r="B255" s="656"/>
      <c r="C255" s="78" t="s">
        <v>17</v>
      </c>
      <c r="D255" s="658"/>
      <c r="E255" s="48">
        <f t="shared" si="18"/>
        <v>0</v>
      </c>
      <c r="F255" s="48">
        <v>0</v>
      </c>
      <c r="G255" s="48">
        <v>0</v>
      </c>
      <c r="H255" s="48"/>
      <c r="I255" s="48">
        <v>0</v>
      </c>
      <c r="J255" s="48">
        <v>0</v>
      </c>
      <c r="K255" s="627"/>
    </row>
    <row r="256" spans="1:11" ht="13.5" customHeight="1">
      <c r="A256" s="656"/>
      <c r="B256" s="656" t="s">
        <v>58</v>
      </c>
      <c r="C256" s="76" t="s">
        <v>14</v>
      </c>
      <c r="D256" s="658">
        <f>E256+E257+E258</f>
        <v>2979</v>
      </c>
      <c r="E256" s="46">
        <f t="shared" si="18"/>
        <v>2979</v>
      </c>
      <c r="F256" s="46">
        <v>0</v>
      </c>
      <c r="G256" s="46">
        <v>0</v>
      </c>
      <c r="H256" s="46">
        <v>2979</v>
      </c>
      <c r="I256" s="46">
        <v>0</v>
      </c>
      <c r="J256" s="46">
        <v>0</v>
      </c>
      <c r="K256" s="627"/>
    </row>
    <row r="257" spans="1:11" ht="12.75">
      <c r="A257" s="656"/>
      <c r="B257" s="656"/>
      <c r="C257" s="77" t="s">
        <v>16</v>
      </c>
      <c r="D257" s="658"/>
      <c r="E257" s="47">
        <f t="shared" si="18"/>
        <v>0</v>
      </c>
      <c r="F257" s="47">
        <v>0</v>
      </c>
      <c r="G257" s="47">
        <v>0</v>
      </c>
      <c r="H257" s="47">
        <v>0</v>
      </c>
      <c r="I257" s="47">
        <v>0</v>
      </c>
      <c r="J257" s="47">
        <v>0</v>
      </c>
      <c r="K257" s="627"/>
    </row>
    <row r="258" spans="1:11" ht="12.75">
      <c r="A258" s="656"/>
      <c r="B258" s="656"/>
      <c r="C258" s="78" t="s">
        <v>17</v>
      </c>
      <c r="D258" s="658"/>
      <c r="E258" s="48">
        <f t="shared" si="18"/>
        <v>0</v>
      </c>
      <c r="F258" s="48">
        <v>0</v>
      </c>
      <c r="G258" s="48">
        <v>0</v>
      </c>
      <c r="H258" s="48">
        <v>0</v>
      </c>
      <c r="I258" s="48">
        <v>0</v>
      </c>
      <c r="J258" s="48">
        <v>0</v>
      </c>
      <c r="K258" s="627"/>
    </row>
    <row r="259" spans="1:11" ht="13.5" customHeight="1">
      <c r="A259" s="656"/>
      <c r="B259" s="656" t="s">
        <v>65</v>
      </c>
      <c r="C259" s="76" t="s">
        <v>14</v>
      </c>
      <c r="D259" s="658">
        <f>E259+E260+E261</f>
        <v>3636</v>
      </c>
      <c r="E259" s="46">
        <f t="shared" si="18"/>
        <v>3636</v>
      </c>
      <c r="F259" s="46">
        <v>0</v>
      </c>
      <c r="G259" s="46">
        <v>0</v>
      </c>
      <c r="H259" s="46">
        <v>3636</v>
      </c>
      <c r="I259" s="46">
        <v>0</v>
      </c>
      <c r="J259" s="46">
        <v>0</v>
      </c>
      <c r="K259" s="627"/>
    </row>
    <row r="260" spans="1:11" ht="12.75">
      <c r="A260" s="656"/>
      <c r="B260" s="656"/>
      <c r="C260" s="77" t="s">
        <v>16</v>
      </c>
      <c r="D260" s="658"/>
      <c r="E260" s="47">
        <f t="shared" si="18"/>
        <v>0</v>
      </c>
      <c r="F260" s="47">
        <v>0</v>
      </c>
      <c r="G260" s="47">
        <v>0</v>
      </c>
      <c r="H260" s="47">
        <v>0</v>
      </c>
      <c r="I260" s="47">
        <v>0</v>
      </c>
      <c r="J260" s="47">
        <v>0</v>
      </c>
      <c r="K260" s="627"/>
    </row>
    <row r="261" spans="1:11" ht="12.75">
      <c r="A261" s="656"/>
      <c r="B261" s="656"/>
      <c r="C261" s="78" t="s">
        <v>17</v>
      </c>
      <c r="D261" s="658"/>
      <c r="E261" s="48">
        <f t="shared" si="18"/>
        <v>0</v>
      </c>
      <c r="F261" s="48">
        <v>0</v>
      </c>
      <c r="G261" s="48">
        <v>0</v>
      </c>
      <c r="H261" s="48">
        <v>0</v>
      </c>
      <c r="I261" s="48">
        <v>0</v>
      </c>
      <c r="J261" s="48">
        <v>0</v>
      </c>
      <c r="K261" s="627"/>
    </row>
    <row r="262" spans="1:11" ht="13.5" customHeight="1">
      <c r="A262" s="656"/>
      <c r="B262" s="656" t="s">
        <v>66</v>
      </c>
      <c r="C262" s="76" t="s">
        <v>14</v>
      </c>
      <c r="D262" s="658">
        <f>E262+E263+E264</f>
        <v>157</v>
      </c>
      <c r="E262" s="46">
        <f t="shared" si="18"/>
        <v>157</v>
      </c>
      <c r="F262" s="46">
        <v>0</v>
      </c>
      <c r="G262" s="46">
        <v>0</v>
      </c>
      <c r="H262" s="46">
        <v>157</v>
      </c>
      <c r="I262" s="46">
        <v>0</v>
      </c>
      <c r="J262" s="46">
        <v>0</v>
      </c>
      <c r="K262" s="627"/>
    </row>
    <row r="263" spans="1:11" ht="12.75">
      <c r="A263" s="656"/>
      <c r="B263" s="656"/>
      <c r="C263" s="77" t="s">
        <v>16</v>
      </c>
      <c r="D263" s="658"/>
      <c r="E263" s="47">
        <f t="shared" si="18"/>
        <v>0</v>
      </c>
      <c r="F263" s="47">
        <v>0</v>
      </c>
      <c r="G263" s="47">
        <v>0</v>
      </c>
      <c r="H263" s="47">
        <v>0</v>
      </c>
      <c r="I263" s="47">
        <v>0</v>
      </c>
      <c r="J263" s="47">
        <v>0</v>
      </c>
      <c r="K263" s="627"/>
    </row>
    <row r="264" spans="1:11" ht="12.75">
      <c r="A264" s="656"/>
      <c r="B264" s="656"/>
      <c r="C264" s="78" t="s">
        <v>17</v>
      </c>
      <c r="D264" s="658"/>
      <c r="E264" s="48">
        <f t="shared" si="18"/>
        <v>0</v>
      </c>
      <c r="F264" s="48">
        <v>0</v>
      </c>
      <c r="G264" s="48">
        <v>0</v>
      </c>
      <c r="H264" s="48">
        <v>0</v>
      </c>
      <c r="I264" s="48">
        <v>0</v>
      </c>
      <c r="J264" s="48">
        <v>0</v>
      </c>
      <c r="K264" s="627"/>
    </row>
    <row r="265" spans="1:11" ht="13.5" customHeight="1">
      <c r="A265" s="656"/>
      <c r="B265" s="656" t="s">
        <v>59</v>
      </c>
      <c r="C265" s="76" t="s">
        <v>14</v>
      </c>
      <c r="D265" s="658">
        <f>E265+E266+E267</f>
        <v>876</v>
      </c>
      <c r="E265" s="46">
        <f t="shared" si="18"/>
        <v>876</v>
      </c>
      <c r="F265" s="46">
        <v>0</v>
      </c>
      <c r="G265" s="46">
        <v>0</v>
      </c>
      <c r="H265" s="46">
        <v>876</v>
      </c>
      <c r="I265" s="46">
        <v>0</v>
      </c>
      <c r="J265" s="46">
        <v>0</v>
      </c>
      <c r="K265" s="627"/>
    </row>
    <row r="266" spans="1:11" ht="12.75">
      <c r="A266" s="656"/>
      <c r="B266" s="656"/>
      <c r="C266" s="77" t="s">
        <v>16</v>
      </c>
      <c r="D266" s="658"/>
      <c r="E266" s="47">
        <f t="shared" si="18"/>
        <v>0</v>
      </c>
      <c r="F266" s="47">
        <v>0</v>
      </c>
      <c r="G266" s="47">
        <v>0</v>
      </c>
      <c r="H266" s="47">
        <v>0</v>
      </c>
      <c r="I266" s="47">
        <v>0</v>
      </c>
      <c r="J266" s="47">
        <v>0</v>
      </c>
      <c r="K266" s="627"/>
    </row>
    <row r="267" spans="1:11" ht="12.75">
      <c r="A267" s="656"/>
      <c r="B267" s="656"/>
      <c r="C267" s="78" t="s">
        <v>17</v>
      </c>
      <c r="D267" s="658"/>
      <c r="E267" s="48">
        <f aca="true" t="shared" si="21" ref="E267:E330">SUM(F267:J267)</f>
        <v>0</v>
      </c>
      <c r="F267" s="48">
        <v>0</v>
      </c>
      <c r="G267" s="48">
        <v>0</v>
      </c>
      <c r="H267" s="48">
        <v>0</v>
      </c>
      <c r="I267" s="48">
        <v>0</v>
      </c>
      <c r="J267" s="48">
        <v>0</v>
      </c>
      <c r="K267" s="627"/>
    </row>
    <row r="268" spans="1:11" ht="13.5" customHeight="1">
      <c r="A268" s="656"/>
      <c r="B268" s="656" t="s">
        <v>67</v>
      </c>
      <c r="C268" s="76" t="s">
        <v>14</v>
      </c>
      <c r="D268" s="658">
        <f>E268+E269+E270</f>
        <v>888</v>
      </c>
      <c r="E268" s="46">
        <f t="shared" si="21"/>
        <v>888</v>
      </c>
      <c r="F268" s="46">
        <v>0</v>
      </c>
      <c r="G268" s="46">
        <v>0</v>
      </c>
      <c r="H268" s="46">
        <v>888</v>
      </c>
      <c r="I268" s="46">
        <v>0</v>
      </c>
      <c r="J268" s="46">
        <v>0</v>
      </c>
      <c r="K268" s="627"/>
    </row>
    <row r="269" spans="1:11" ht="12.75">
      <c r="A269" s="656"/>
      <c r="B269" s="656"/>
      <c r="C269" s="77" t="s">
        <v>16</v>
      </c>
      <c r="D269" s="658"/>
      <c r="E269" s="47">
        <f t="shared" si="21"/>
        <v>0</v>
      </c>
      <c r="F269" s="47">
        <v>0</v>
      </c>
      <c r="G269" s="47">
        <v>0</v>
      </c>
      <c r="H269" s="47">
        <v>0</v>
      </c>
      <c r="I269" s="47">
        <v>0</v>
      </c>
      <c r="J269" s="47">
        <v>0</v>
      </c>
      <c r="K269" s="627"/>
    </row>
    <row r="270" spans="1:11" ht="12.75">
      <c r="A270" s="656"/>
      <c r="B270" s="656"/>
      <c r="C270" s="78" t="s">
        <v>17</v>
      </c>
      <c r="D270" s="658"/>
      <c r="E270" s="48">
        <f t="shared" si="21"/>
        <v>0</v>
      </c>
      <c r="F270" s="48">
        <v>0</v>
      </c>
      <c r="G270" s="48">
        <v>0</v>
      </c>
      <c r="H270" s="48">
        <v>0</v>
      </c>
      <c r="I270" s="48">
        <v>0</v>
      </c>
      <c r="J270" s="48">
        <v>0</v>
      </c>
      <c r="K270" s="627"/>
    </row>
    <row r="271" spans="1:11" ht="13.5" customHeight="1">
      <c r="A271" s="656"/>
      <c r="B271" s="656" t="s">
        <v>54</v>
      </c>
      <c r="C271" s="76" t="s">
        <v>14</v>
      </c>
      <c r="D271" s="658">
        <f>E271+E272+E273</f>
        <v>403</v>
      </c>
      <c r="E271" s="46">
        <f t="shared" si="21"/>
        <v>40.3</v>
      </c>
      <c r="F271" s="46">
        <v>0</v>
      </c>
      <c r="G271" s="79">
        <v>0</v>
      </c>
      <c r="H271" s="46">
        <v>40.3</v>
      </c>
      <c r="I271" s="46">
        <v>0</v>
      </c>
      <c r="J271" s="46">
        <v>0</v>
      </c>
      <c r="K271" s="627"/>
    </row>
    <row r="272" spans="1:11" ht="12.75">
      <c r="A272" s="656"/>
      <c r="B272" s="656"/>
      <c r="C272" s="77" t="s">
        <v>16</v>
      </c>
      <c r="D272" s="658"/>
      <c r="E272" s="47">
        <f t="shared" si="21"/>
        <v>362.7</v>
      </c>
      <c r="F272" s="47">
        <v>0</v>
      </c>
      <c r="G272" s="80">
        <v>0</v>
      </c>
      <c r="H272" s="47">
        <v>362.7</v>
      </c>
      <c r="I272" s="47">
        <v>0</v>
      </c>
      <c r="J272" s="52">
        <v>0</v>
      </c>
      <c r="K272" s="627"/>
    </row>
    <row r="273" spans="1:11" ht="12.75">
      <c r="A273" s="656"/>
      <c r="B273" s="656"/>
      <c r="C273" s="78" t="s">
        <v>17</v>
      </c>
      <c r="D273" s="658"/>
      <c r="E273" s="48">
        <f t="shared" si="21"/>
        <v>0</v>
      </c>
      <c r="F273" s="48">
        <v>0</v>
      </c>
      <c r="G273" s="81">
        <v>0</v>
      </c>
      <c r="H273" s="48">
        <v>0</v>
      </c>
      <c r="I273" s="48">
        <v>0</v>
      </c>
      <c r="J273" s="53">
        <v>0</v>
      </c>
      <c r="K273" s="627"/>
    </row>
    <row r="274" spans="1:11" ht="13.5" customHeight="1">
      <c r="A274" s="656"/>
      <c r="B274" s="656" t="s">
        <v>60</v>
      </c>
      <c r="C274" s="76" t="s">
        <v>14</v>
      </c>
      <c r="D274" s="658">
        <f>E274+E275+E276</f>
        <v>2461</v>
      </c>
      <c r="E274" s="46">
        <f t="shared" si="21"/>
        <v>2461</v>
      </c>
      <c r="F274" s="46">
        <v>0</v>
      </c>
      <c r="G274" s="46">
        <v>0</v>
      </c>
      <c r="H274" s="46">
        <v>0</v>
      </c>
      <c r="I274" s="46">
        <v>0</v>
      </c>
      <c r="J274" s="46">
        <v>2461</v>
      </c>
      <c r="K274" s="627"/>
    </row>
    <row r="275" spans="1:11" ht="12.75">
      <c r="A275" s="656"/>
      <c r="B275" s="656"/>
      <c r="C275" s="77" t="s">
        <v>16</v>
      </c>
      <c r="D275" s="658"/>
      <c r="E275" s="47">
        <f t="shared" si="21"/>
        <v>0</v>
      </c>
      <c r="F275" s="47">
        <v>0</v>
      </c>
      <c r="G275" s="47">
        <v>0</v>
      </c>
      <c r="H275" s="47">
        <v>0</v>
      </c>
      <c r="I275" s="47">
        <v>0</v>
      </c>
      <c r="J275" s="47">
        <v>0</v>
      </c>
      <c r="K275" s="627"/>
    </row>
    <row r="276" spans="1:11" ht="12.75">
      <c r="A276" s="656"/>
      <c r="B276" s="656"/>
      <c r="C276" s="78" t="s">
        <v>17</v>
      </c>
      <c r="D276" s="658"/>
      <c r="E276" s="48">
        <f t="shared" si="21"/>
        <v>0</v>
      </c>
      <c r="F276" s="48">
        <v>0</v>
      </c>
      <c r="G276" s="48">
        <v>0</v>
      </c>
      <c r="H276" s="48">
        <v>0</v>
      </c>
      <c r="I276" s="48">
        <v>0</v>
      </c>
      <c r="J276" s="48">
        <v>0</v>
      </c>
      <c r="K276" s="627"/>
    </row>
    <row r="277" spans="1:11" ht="13.5" customHeight="1">
      <c r="A277" s="656"/>
      <c r="B277" s="656" t="s">
        <v>71</v>
      </c>
      <c r="C277" s="76" t="s">
        <v>14</v>
      </c>
      <c r="D277" s="658">
        <f>E277+E278+E279</f>
        <v>2225</v>
      </c>
      <c r="E277" s="46">
        <f t="shared" si="21"/>
        <v>2225</v>
      </c>
      <c r="F277" s="46">
        <v>0</v>
      </c>
      <c r="G277" s="46">
        <v>0</v>
      </c>
      <c r="H277" s="46">
        <v>0</v>
      </c>
      <c r="I277" s="46">
        <v>0</v>
      </c>
      <c r="J277" s="46">
        <v>2225</v>
      </c>
      <c r="K277" s="627"/>
    </row>
    <row r="278" spans="1:11" ht="12.75">
      <c r="A278" s="656"/>
      <c r="B278" s="656"/>
      <c r="C278" s="77" t="s">
        <v>16</v>
      </c>
      <c r="D278" s="658"/>
      <c r="E278" s="47">
        <f t="shared" si="21"/>
        <v>0</v>
      </c>
      <c r="F278" s="47">
        <v>0</v>
      </c>
      <c r="G278" s="47">
        <v>0</v>
      </c>
      <c r="H278" s="47">
        <v>0</v>
      </c>
      <c r="I278" s="47">
        <v>0</v>
      </c>
      <c r="J278" s="47">
        <v>0</v>
      </c>
      <c r="K278" s="627"/>
    </row>
    <row r="279" spans="1:11" ht="12.75">
      <c r="A279" s="656"/>
      <c r="B279" s="656"/>
      <c r="C279" s="78" t="s">
        <v>17</v>
      </c>
      <c r="D279" s="658"/>
      <c r="E279" s="48">
        <f t="shared" si="21"/>
        <v>0</v>
      </c>
      <c r="F279" s="48">
        <v>0</v>
      </c>
      <c r="G279" s="48">
        <v>0</v>
      </c>
      <c r="H279" s="48">
        <v>0</v>
      </c>
      <c r="I279" s="48">
        <v>0</v>
      </c>
      <c r="J279" s="48">
        <v>0</v>
      </c>
      <c r="K279" s="627"/>
    </row>
    <row r="280" spans="1:11" ht="13.5" customHeight="1">
      <c r="A280" s="656"/>
      <c r="B280" s="656" t="s">
        <v>62</v>
      </c>
      <c r="C280" s="76" t="s">
        <v>14</v>
      </c>
      <c r="D280" s="658">
        <f>E280+E281+E282</f>
        <v>390</v>
      </c>
      <c r="E280" s="46">
        <f t="shared" si="21"/>
        <v>390</v>
      </c>
      <c r="F280" s="46">
        <v>0</v>
      </c>
      <c r="G280" s="46">
        <v>0</v>
      </c>
      <c r="H280" s="46">
        <v>0</v>
      </c>
      <c r="I280" s="46">
        <v>0</v>
      </c>
      <c r="J280" s="46">
        <v>390</v>
      </c>
      <c r="K280" s="627"/>
    </row>
    <row r="281" spans="1:11" ht="12.75">
      <c r="A281" s="656"/>
      <c r="B281" s="656"/>
      <c r="C281" s="77" t="s">
        <v>16</v>
      </c>
      <c r="D281" s="658"/>
      <c r="E281" s="47">
        <f t="shared" si="21"/>
        <v>0</v>
      </c>
      <c r="F281" s="47">
        <v>0</v>
      </c>
      <c r="G281" s="47">
        <v>0</v>
      </c>
      <c r="H281" s="47">
        <v>0</v>
      </c>
      <c r="I281" s="47">
        <v>0</v>
      </c>
      <c r="J281" s="47">
        <v>0</v>
      </c>
      <c r="K281" s="627"/>
    </row>
    <row r="282" spans="1:11" ht="12.75">
      <c r="A282" s="656"/>
      <c r="B282" s="656"/>
      <c r="C282" s="78" t="s">
        <v>17</v>
      </c>
      <c r="D282" s="658"/>
      <c r="E282" s="48">
        <f t="shared" si="21"/>
        <v>0</v>
      </c>
      <c r="F282" s="48">
        <v>0</v>
      </c>
      <c r="G282" s="48">
        <v>0</v>
      </c>
      <c r="H282" s="48">
        <v>0</v>
      </c>
      <c r="I282" s="48">
        <v>0</v>
      </c>
      <c r="J282" s="48">
        <v>0</v>
      </c>
      <c r="K282" s="627"/>
    </row>
    <row r="283" spans="1:11" ht="13.5" customHeight="1">
      <c r="A283" s="654">
        <v>25</v>
      </c>
      <c r="B283" s="654" t="s">
        <v>72</v>
      </c>
      <c r="C283" s="73" t="s">
        <v>14</v>
      </c>
      <c r="D283" s="655">
        <f>E283+E284+E285</f>
        <v>12507</v>
      </c>
      <c r="E283" s="17">
        <f t="shared" si="21"/>
        <v>12189.3</v>
      </c>
      <c r="F283" s="17">
        <f aca="true" t="shared" si="22" ref="F283:J285">F286+F289+F292+F295+F298+F301+F304+F307+F310+F313</f>
        <v>0</v>
      </c>
      <c r="G283" s="17">
        <f t="shared" si="22"/>
        <v>0</v>
      </c>
      <c r="H283" s="17">
        <f t="shared" si="22"/>
        <v>35.3</v>
      </c>
      <c r="I283" s="17">
        <f t="shared" si="22"/>
        <v>8145</v>
      </c>
      <c r="J283" s="17">
        <f t="shared" si="22"/>
        <v>4009</v>
      </c>
      <c r="K283" s="627"/>
    </row>
    <row r="284" spans="1:11" ht="12.75">
      <c r="A284" s="654"/>
      <c r="B284" s="654"/>
      <c r="C284" s="74" t="s">
        <v>16</v>
      </c>
      <c r="D284" s="655"/>
      <c r="E284" s="21">
        <f t="shared" si="21"/>
        <v>317.7</v>
      </c>
      <c r="F284" s="21">
        <f t="shared" si="22"/>
        <v>0</v>
      </c>
      <c r="G284" s="21">
        <f t="shared" si="22"/>
        <v>0</v>
      </c>
      <c r="H284" s="21">
        <f t="shared" si="22"/>
        <v>317.7</v>
      </c>
      <c r="I284" s="21">
        <f t="shared" si="22"/>
        <v>0</v>
      </c>
      <c r="J284" s="21">
        <f t="shared" si="22"/>
        <v>0</v>
      </c>
      <c r="K284" s="627"/>
    </row>
    <row r="285" spans="1:11" ht="15.75" customHeight="1">
      <c r="A285" s="654"/>
      <c r="B285" s="654"/>
      <c r="C285" s="75" t="s">
        <v>17</v>
      </c>
      <c r="D285" s="655"/>
      <c r="E285" s="25">
        <f t="shared" si="21"/>
        <v>0</v>
      </c>
      <c r="F285" s="25">
        <f t="shared" si="22"/>
        <v>0</v>
      </c>
      <c r="G285" s="25">
        <f t="shared" si="22"/>
        <v>0</v>
      </c>
      <c r="H285" s="25">
        <f t="shared" si="22"/>
        <v>0</v>
      </c>
      <c r="I285" s="25">
        <f t="shared" si="22"/>
        <v>0</v>
      </c>
      <c r="J285" s="25">
        <f t="shared" si="22"/>
        <v>0</v>
      </c>
      <c r="K285" s="627"/>
    </row>
    <row r="286" spans="1:11" ht="13.5" customHeight="1">
      <c r="A286" s="656"/>
      <c r="B286" s="656" t="s">
        <v>64</v>
      </c>
      <c r="C286" s="76" t="s">
        <v>14</v>
      </c>
      <c r="D286" s="658">
        <f>E286+E287+E288</f>
        <v>1420</v>
      </c>
      <c r="E286" s="46">
        <f t="shared" si="21"/>
        <v>1420</v>
      </c>
      <c r="F286" s="46">
        <v>0</v>
      </c>
      <c r="G286" s="46">
        <v>0</v>
      </c>
      <c r="H286" s="46">
        <v>0</v>
      </c>
      <c r="I286" s="46">
        <v>1420</v>
      </c>
      <c r="J286" s="46">
        <v>0</v>
      </c>
      <c r="K286" s="627"/>
    </row>
    <row r="287" spans="1:11" ht="12.75">
      <c r="A287" s="656"/>
      <c r="B287" s="656"/>
      <c r="C287" s="77" t="s">
        <v>16</v>
      </c>
      <c r="D287" s="658"/>
      <c r="E287" s="47">
        <f t="shared" si="21"/>
        <v>0</v>
      </c>
      <c r="F287" s="47">
        <v>0</v>
      </c>
      <c r="G287" s="47">
        <v>0</v>
      </c>
      <c r="H287" s="47">
        <v>0</v>
      </c>
      <c r="I287" s="47">
        <v>0</v>
      </c>
      <c r="J287" s="47">
        <v>0</v>
      </c>
      <c r="K287" s="627"/>
    </row>
    <row r="288" spans="1:11" ht="12.75">
      <c r="A288" s="656"/>
      <c r="B288" s="656"/>
      <c r="C288" s="78" t="s">
        <v>17</v>
      </c>
      <c r="D288" s="658"/>
      <c r="E288" s="48">
        <f t="shared" si="21"/>
        <v>0</v>
      </c>
      <c r="F288" s="48">
        <v>0</v>
      </c>
      <c r="G288" s="48">
        <v>0</v>
      </c>
      <c r="H288" s="48">
        <v>0</v>
      </c>
      <c r="I288" s="48">
        <v>0</v>
      </c>
      <c r="J288" s="48">
        <v>0</v>
      </c>
      <c r="K288" s="627"/>
    </row>
    <row r="289" spans="1:11" ht="13.5" customHeight="1">
      <c r="A289" s="656"/>
      <c r="B289" s="656" t="s">
        <v>58</v>
      </c>
      <c r="C289" s="76" t="s">
        <v>14</v>
      </c>
      <c r="D289" s="658">
        <f>E289+E290+E291</f>
        <v>2273</v>
      </c>
      <c r="E289" s="46">
        <f t="shared" si="21"/>
        <v>2273</v>
      </c>
      <c r="F289" s="46">
        <v>0</v>
      </c>
      <c r="G289" s="46">
        <v>0</v>
      </c>
      <c r="H289" s="46">
        <v>0</v>
      </c>
      <c r="I289" s="46">
        <v>2273</v>
      </c>
      <c r="J289" s="46">
        <v>0</v>
      </c>
      <c r="K289" s="627"/>
    </row>
    <row r="290" spans="1:11" ht="12.75">
      <c r="A290" s="656"/>
      <c r="B290" s="656"/>
      <c r="C290" s="77" t="s">
        <v>16</v>
      </c>
      <c r="D290" s="658"/>
      <c r="E290" s="47">
        <f t="shared" si="21"/>
        <v>0</v>
      </c>
      <c r="F290" s="47">
        <v>0</v>
      </c>
      <c r="G290" s="47">
        <v>0</v>
      </c>
      <c r="H290" s="47">
        <v>0</v>
      </c>
      <c r="I290" s="47">
        <v>0</v>
      </c>
      <c r="J290" s="47">
        <v>0</v>
      </c>
      <c r="K290" s="627"/>
    </row>
    <row r="291" spans="1:11" ht="12.75">
      <c r="A291" s="656"/>
      <c r="B291" s="656"/>
      <c r="C291" s="78" t="s">
        <v>17</v>
      </c>
      <c r="D291" s="658"/>
      <c r="E291" s="48">
        <f t="shared" si="21"/>
        <v>0</v>
      </c>
      <c r="F291" s="48">
        <v>0</v>
      </c>
      <c r="G291" s="48">
        <v>0</v>
      </c>
      <c r="H291" s="48">
        <v>0</v>
      </c>
      <c r="I291" s="48">
        <v>0</v>
      </c>
      <c r="J291" s="48">
        <v>0</v>
      </c>
      <c r="K291" s="627"/>
    </row>
    <row r="292" spans="1:11" ht="13.5" customHeight="1">
      <c r="A292" s="656"/>
      <c r="B292" s="656" t="s">
        <v>65</v>
      </c>
      <c r="C292" s="76" t="s">
        <v>14</v>
      </c>
      <c r="D292" s="658">
        <f>E292+E293+E294</f>
        <v>2683</v>
      </c>
      <c r="E292" s="46">
        <f t="shared" si="21"/>
        <v>2683</v>
      </c>
      <c r="F292" s="46">
        <v>0</v>
      </c>
      <c r="G292" s="46">
        <v>0</v>
      </c>
      <c r="H292" s="46">
        <v>0</v>
      </c>
      <c r="I292" s="46">
        <v>2683</v>
      </c>
      <c r="J292" s="46">
        <v>0</v>
      </c>
      <c r="K292" s="627"/>
    </row>
    <row r="293" spans="1:11" ht="12.75">
      <c r="A293" s="656"/>
      <c r="B293" s="656"/>
      <c r="C293" s="77" t="s">
        <v>16</v>
      </c>
      <c r="D293" s="658"/>
      <c r="E293" s="47">
        <f t="shared" si="21"/>
        <v>0</v>
      </c>
      <c r="F293" s="47">
        <v>0</v>
      </c>
      <c r="G293" s="47">
        <v>0</v>
      </c>
      <c r="H293" s="47">
        <v>0</v>
      </c>
      <c r="I293" s="47">
        <v>0</v>
      </c>
      <c r="J293" s="47">
        <v>0</v>
      </c>
      <c r="K293" s="627"/>
    </row>
    <row r="294" spans="1:11" ht="12.75">
      <c r="A294" s="656"/>
      <c r="B294" s="656"/>
      <c r="C294" s="78" t="s">
        <v>17</v>
      </c>
      <c r="D294" s="658"/>
      <c r="E294" s="48">
        <f t="shared" si="21"/>
        <v>0</v>
      </c>
      <c r="F294" s="48">
        <v>0</v>
      </c>
      <c r="G294" s="48">
        <v>0</v>
      </c>
      <c r="H294" s="48">
        <v>0</v>
      </c>
      <c r="I294" s="48">
        <v>0</v>
      </c>
      <c r="J294" s="48">
        <v>0</v>
      </c>
      <c r="K294" s="627"/>
    </row>
    <row r="295" spans="1:11" ht="13.5" customHeight="1">
      <c r="A295" s="656"/>
      <c r="B295" s="656" t="s">
        <v>66</v>
      </c>
      <c r="C295" s="76" t="s">
        <v>14</v>
      </c>
      <c r="D295" s="658">
        <f>E295+E296+E297</f>
        <v>143</v>
      </c>
      <c r="E295" s="46">
        <f t="shared" si="21"/>
        <v>143</v>
      </c>
      <c r="F295" s="46">
        <v>0</v>
      </c>
      <c r="G295" s="46">
        <v>0</v>
      </c>
      <c r="H295" s="46">
        <v>0</v>
      </c>
      <c r="I295" s="46">
        <v>143</v>
      </c>
      <c r="J295" s="46">
        <v>0</v>
      </c>
      <c r="K295" s="627"/>
    </row>
    <row r="296" spans="1:11" ht="12.75">
      <c r="A296" s="656"/>
      <c r="B296" s="656"/>
      <c r="C296" s="77" t="s">
        <v>16</v>
      </c>
      <c r="D296" s="658"/>
      <c r="E296" s="47">
        <f t="shared" si="21"/>
        <v>0</v>
      </c>
      <c r="F296" s="47">
        <v>0</v>
      </c>
      <c r="G296" s="47">
        <v>0</v>
      </c>
      <c r="H296" s="47">
        <v>0</v>
      </c>
      <c r="I296" s="47">
        <v>0</v>
      </c>
      <c r="J296" s="47">
        <v>0</v>
      </c>
      <c r="K296" s="627"/>
    </row>
    <row r="297" spans="1:11" ht="12.75">
      <c r="A297" s="656"/>
      <c r="B297" s="656"/>
      <c r="C297" s="78" t="s">
        <v>17</v>
      </c>
      <c r="D297" s="658"/>
      <c r="E297" s="48">
        <f t="shared" si="21"/>
        <v>0</v>
      </c>
      <c r="F297" s="48">
        <v>0</v>
      </c>
      <c r="G297" s="48">
        <v>0</v>
      </c>
      <c r="H297" s="48">
        <v>0</v>
      </c>
      <c r="I297" s="48">
        <v>0</v>
      </c>
      <c r="J297" s="48">
        <v>0</v>
      </c>
      <c r="K297" s="627"/>
    </row>
    <row r="298" spans="1:11" ht="13.5" customHeight="1">
      <c r="A298" s="656"/>
      <c r="B298" s="656" t="s">
        <v>59</v>
      </c>
      <c r="C298" s="76" t="s">
        <v>14</v>
      </c>
      <c r="D298" s="658">
        <f>E298+E299+E300</f>
        <v>668</v>
      </c>
      <c r="E298" s="46">
        <f t="shared" si="21"/>
        <v>668</v>
      </c>
      <c r="F298" s="46">
        <v>0</v>
      </c>
      <c r="G298" s="46">
        <v>0</v>
      </c>
      <c r="H298" s="46">
        <v>0</v>
      </c>
      <c r="I298" s="46">
        <v>668</v>
      </c>
      <c r="J298" s="46">
        <v>0</v>
      </c>
      <c r="K298" s="627"/>
    </row>
    <row r="299" spans="1:11" ht="12.75">
      <c r="A299" s="656"/>
      <c r="B299" s="656"/>
      <c r="C299" s="77" t="s">
        <v>16</v>
      </c>
      <c r="D299" s="658"/>
      <c r="E299" s="47">
        <f t="shared" si="21"/>
        <v>0</v>
      </c>
      <c r="F299" s="47">
        <v>0</v>
      </c>
      <c r="G299" s="47">
        <v>0</v>
      </c>
      <c r="H299" s="47">
        <v>0</v>
      </c>
      <c r="I299" s="47">
        <v>0</v>
      </c>
      <c r="J299" s="47">
        <v>0</v>
      </c>
      <c r="K299" s="627"/>
    </row>
    <row r="300" spans="1:11" ht="12.75">
      <c r="A300" s="656"/>
      <c r="B300" s="656"/>
      <c r="C300" s="23" t="s">
        <v>17</v>
      </c>
      <c r="D300" s="658"/>
      <c r="E300" s="48">
        <f t="shared" si="21"/>
        <v>0</v>
      </c>
      <c r="F300" s="48">
        <v>0</v>
      </c>
      <c r="G300" s="48">
        <v>0</v>
      </c>
      <c r="H300" s="48">
        <v>0</v>
      </c>
      <c r="I300" s="48">
        <v>0</v>
      </c>
      <c r="J300" s="48">
        <v>0</v>
      </c>
      <c r="K300" s="627"/>
    </row>
    <row r="301" spans="1:11" ht="13.5" customHeight="1">
      <c r="A301" s="656"/>
      <c r="B301" s="656" t="s">
        <v>67</v>
      </c>
      <c r="C301" s="76" t="s">
        <v>14</v>
      </c>
      <c r="D301" s="658">
        <f>E301+E302+E303</f>
        <v>645</v>
      </c>
      <c r="E301" s="46">
        <f t="shared" si="21"/>
        <v>645</v>
      </c>
      <c r="F301" s="46">
        <v>0</v>
      </c>
      <c r="G301" s="46">
        <v>0</v>
      </c>
      <c r="H301" s="46">
        <v>0</v>
      </c>
      <c r="I301" s="46">
        <v>645</v>
      </c>
      <c r="J301" s="46">
        <v>0</v>
      </c>
      <c r="K301" s="627"/>
    </row>
    <row r="302" spans="1:11" ht="12.75">
      <c r="A302" s="656"/>
      <c r="B302" s="656"/>
      <c r="C302" s="77" t="s">
        <v>16</v>
      </c>
      <c r="D302" s="658"/>
      <c r="E302" s="47">
        <f t="shared" si="21"/>
        <v>0</v>
      </c>
      <c r="F302" s="47">
        <v>0</v>
      </c>
      <c r="G302" s="47">
        <v>0</v>
      </c>
      <c r="H302" s="47">
        <v>0</v>
      </c>
      <c r="I302" s="47">
        <v>0</v>
      </c>
      <c r="J302" s="47">
        <v>0</v>
      </c>
      <c r="K302" s="627"/>
    </row>
    <row r="303" spans="1:11" ht="12.75">
      <c r="A303" s="656"/>
      <c r="B303" s="656"/>
      <c r="C303" s="78" t="s">
        <v>17</v>
      </c>
      <c r="D303" s="658"/>
      <c r="E303" s="48">
        <f t="shared" si="21"/>
        <v>0</v>
      </c>
      <c r="F303" s="48">
        <v>0</v>
      </c>
      <c r="G303" s="48">
        <v>0</v>
      </c>
      <c r="H303" s="48">
        <v>0</v>
      </c>
      <c r="I303" s="48">
        <v>0</v>
      </c>
      <c r="J303" s="48">
        <v>0</v>
      </c>
      <c r="K303" s="627"/>
    </row>
    <row r="304" spans="1:11" ht="13.5" customHeight="1">
      <c r="A304" s="656"/>
      <c r="B304" s="656" t="s">
        <v>54</v>
      </c>
      <c r="C304" s="76" t="s">
        <v>14</v>
      </c>
      <c r="D304" s="658">
        <f>E304+E305+E306</f>
        <v>353</v>
      </c>
      <c r="E304" s="46">
        <f t="shared" si="21"/>
        <v>35.3</v>
      </c>
      <c r="F304" s="46">
        <v>0</v>
      </c>
      <c r="G304" s="79">
        <v>0</v>
      </c>
      <c r="H304" s="46">
        <v>35.3</v>
      </c>
      <c r="I304" s="46">
        <v>0</v>
      </c>
      <c r="J304" s="46">
        <v>0</v>
      </c>
      <c r="K304" s="627"/>
    </row>
    <row r="305" spans="1:11" ht="12.75">
      <c r="A305" s="656"/>
      <c r="B305" s="656"/>
      <c r="C305" s="77" t="s">
        <v>16</v>
      </c>
      <c r="D305" s="658"/>
      <c r="E305" s="47">
        <f t="shared" si="21"/>
        <v>317.7</v>
      </c>
      <c r="F305" s="47">
        <v>0</v>
      </c>
      <c r="G305" s="80">
        <v>0</v>
      </c>
      <c r="H305" s="47">
        <v>317.7</v>
      </c>
      <c r="I305" s="47">
        <v>0</v>
      </c>
      <c r="J305" s="47">
        <v>0</v>
      </c>
      <c r="K305" s="627"/>
    </row>
    <row r="306" spans="1:11" ht="12.75">
      <c r="A306" s="656"/>
      <c r="B306" s="656"/>
      <c r="C306" s="78" t="s">
        <v>17</v>
      </c>
      <c r="D306" s="658"/>
      <c r="E306" s="48">
        <f t="shared" si="21"/>
        <v>0</v>
      </c>
      <c r="F306" s="48">
        <v>0</v>
      </c>
      <c r="G306" s="81">
        <v>0</v>
      </c>
      <c r="H306" s="48">
        <v>0</v>
      </c>
      <c r="I306" s="48">
        <v>0</v>
      </c>
      <c r="J306" s="48">
        <v>0</v>
      </c>
      <c r="K306" s="627"/>
    </row>
    <row r="307" spans="1:11" ht="13.5" customHeight="1">
      <c r="A307" s="656"/>
      <c r="B307" s="656" t="s">
        <v>60</v>
      </c>
      <c r="C307" s="76" t="s">
        <v>14</v>
      </c>
      <c r="D307" s="658">
        <f>E307+E308+E309</f>
        <v>2173</v>
      </c>
      <c r="E307" s="46">
        <f t="shared" si="21"/>
        <v>2173</v>
      </c>
      <c r="F307" s="46">
        <v>0</v>
      </c>
      <c r="G307" s="46">
        <v>0</v>
      </c>
      <c r="H307" s="46">
        <v>0</v>
      </c>
      <c r="I307" s="46">
        <v>0</v>
      </c>
      <c r="J307" s="46">
        <v>2173</v>
      </c>
      <c r="K307" s="627"/>
    </row>
    <row r="308" spans="1:11" ht="12.75">
      <c r="A308" s="656"/>
      <c r="B308" s="656"/>
      <c r="C308" s="77" t="s">
        <v>16</v>
      </c>
      <c r="D308" s="658"/>
      <c r="E308" s="47">
        <f t="shared" si="21"/>
        <v>0</v>
      </c>
      <c r="F308" s="47">
        <v>0</v>
      </c>
      <c r="G308" s="47">
        <v>0</v>
      </c>
      <c r="H308" s="47">
        <v>0</v>
      </c>
      <c r="I308" s="47">
        <v>0</v>
      </c>
      <c r="J308" s="47">
        <v>0</v>
      </c>
      <c r="K308" s="627"/>
    </row>
    <row r="309" spans="1:11" ht="12.75">
      <c r="A309" s="656"/>
      <c r="B309" s="656"/>
      <c r="C309" s="78" t="s">
        <v>17</v>
      </c>
      <c r="D309" s="658"/>
      <c r="E309" s="48">
        <f t="shared" si="21"/>
        <v>0</v>
      </c>
      <c r="F309" s="48">
        <v>0</v>
      </c>
      <c r="G309" s="48">
        <v>0</v>
      </c>
      <c r="H309" s="48">
        <v>0</v>
      </c>
      <c r="I309" s="48">
        <v>0</v>
      </c>
      <c r="J309" s="48">
        <v>0</v>
      </c>
      <c r="K309" s="627"/>
    </row>
    <row r="310" spans="1:11" ht="13.5" customHeight="1">
      <c r="A310" s="656"/>
      <c r="B310" s="656" t="s">
        <v>71</v>
      </c>
      <c r="C310" s="76" t="s">
        <v>14</v>
      </c>
      <c r="D310" s="658">
        <f>E310+E311+E312</f>
        <v>1836</v>
      </c>
      <c r="E310" s="46">
        <f t="shared" si="21"/>
        <v>1836</v>
      </c>
      <c r="F310" s="46">
        <v>0</v>
      </c>
      <c r="G310" s="46">
        <v>0</v>
      </c>
      <c r="H310" s="46">
        <v>0</v>
      </c>
      <c r="I310" s="46">
        <v>0</v>
      </c>
      <c r="J310" s="46">
        <v>1836</v>
      </c>
      <c r="K310" s="627"/>
    </row>
    <row r="311" spans="1:11" ht="12.75">
      <c r="A311" s="656"/>
      <c r="B311" s="656"/>
      <c r="C311" s="77" t="s">
        <v>16</v>
      </c>
      <c r="D311" s="658"/>
      <c r="E311" s="47">
        <f t="shared" si="21"/>
        <v>0</v>
      </c>
      <c r="F311" s="47">
        <v>0</v>
      </c>
      <c r="G311" s="47">
        <v>0</v>
      </c>
      <c r="H311" s="47">
        <v>0</v>
      </c>
      <c r="I311" s="47">
        <v>0</v>
      </c>
      <c r="J311" s="47">
        <v>0</v>
      </c>
      <c r="K311" s="627"/>
    </row>
    <row r="312" spans="1:11" ht="12.75">
      <c r="A312" s="656"/>
      <c r="B312" s="656"/>
      <c r="C312" s="78" t="s">
        <v>17</v>
      </c>
      <c r="D312" s="658"/>
      <c r="E312" s="48">
        <f t="shared" si="21"/>
        <v>0</v>
      </c>
      <c r="F312" s="48">
        <v>0</v>
      </c>
      <c r="G312" s="48">
        <v>0</v>
      </c>
      <c r="H312" s="48">
        <v>0</v>
      </c>
      <c r="I312" s="48">
        <v>0</v>
      </c>
      <c r="J312" s="48">
        <v>0</v>
      </c>
      <c r="K312" s="627"/>
    </row>
    <row r="313" spans="1:11" ht="13.5" customHeight="1">
      <c r="A313" s="656"/>
      <c r="B313" s="656" t="s">
        <v>62</v>
      </c>
      <c r="C313" s="76" t="s">
        <v>14</v>
      </c>
      <c r="D313" s="659">
        <v>313.2</v>
      </c>
      <c r="E313" s="46">
        <f t="shared" si="21"/>
        <v>313</v>
      </c>
      <c r="F313" s="46">
        <v>0</v>
      </c>
      <c r="G313" s="46">
        <v>0</v>
      </c>
      <c r="H313" s="46">
        <v>0</v>
      </c>
      <c r="I313" s="46">
        <v>313</v>
      </c>
      <c r="J313" s="46">
        <v>0</v>
      </c>
      <c r="K313" s="627"/>
    </row>
    <row r="314" spans="1:11" ht="12.75">
      <c r="A314" s="656"/>
      <c r="B314" s="656"/>
      <c r="C314" s="77" t="s">
        <v>16</v>
      </c>
      <c r="D314" s="659"/>
      <c r="E314" s="47">
        <f t="shared" si="21"/>
        <v>0</v>
      </c>
      <c r="F314" s="47">
        <v>0</v>
      </c>
      <c r="G314" s="47">
        <v>0</v>
      </c>
      <c r="H314" s="47">
        <v>0</v>
      </c>
      <c r="I314" s="47">
        <v>0</v>
      </c>
      <c r="J314" s="47">
        <v>0</v>
      </c>
      <c r="K314" s="627"/>
    </row>
    <row r="315" spans="1:11" ht="12.75">
      <c r="A315" s="656"/>
      <c r="B315" s="656"/>
      <c r="C315" s="78" t="s">
        <v>17</v>
      </c>
      <c r="D315" s="659"/>
      <c r="E315" s="48">
        <f t="shared" si="21"/>
        <v>0</v>
      </c>
      <c r="F315" s="48">
        <v>0</v>
      </c>
      <c r="G315" s="48">
        <v>0</v>
      </c>
      <c r="H315" s="48">
        <v>0</v>
      </c>
      <c r="I315" s="48">
        <v>0</v>
      </c>
      <c r="J315" s="48">
        <v>0</v>
      </c>
      <c r="K315" s="627"/>
    </row>
    <row r="316" spans="1:11" ht="13.5" customHeight="1">
      <c r="A316" s="654">
        <v>26</v>
      </c>
      <c r="B316" s="654" t="s">
        <v>73</v>
      </c>
      <c r="C316" s="73" t="s">
        <v>14</v>
      </c>
      <c r="D316" s="655">
        <f>E316+E317+E318</f>
        <v>5943</v>
      </c>
      <c r="E316" s="17">
        <f t="shared" si="21"/>
        <v>5775.6</v>
      </c>
      <c r="F316" s="17">
        <f aca="true" t="shared" si="23" ref="F316:J318">F319+F322+F325+F328+F331+F334+F337+F340+F343+F346</f>
        <v>0</v>
      </c>
      <c r="G316" s="17">
        <f t="shared" si="23"/>
        <v>0</v>
      </c>
      <c r="H316" s="17">
        <f t="shared" si="23"/>
        <v>18.6</v>
      </c>
      <c r="I316" s="17">
        <f t="shared" si="23"/>
        <v>3577</v>
      </c>
      <c r="J316" s="17">
        <f t="shared" si="23"/>
        <v>2180</v>
      </c>
      <c r="K316" s="627"/>
    </row>
    <row r="317" spans="1:11" ht="12.75">
      <c r="A317" s="654"/>
      <c r="B317" s="654"/>
      <c r="C317" s="74" t="s">
        <v>16</v>
      </c>
      <c r="D317" s="655"/>
      <c r="E317" s="21">
        <f t="shared" si="21"/>
        <v>167.4</v>
      </c>
      <c r="F317" s="21">
        <f t="shared" si="23"/>
        <v>0</v>
      </c>
      <c r="G317" s="21">
        <f t="shared" si="23"/>
        <v>0</v>
      </c>
      <c r="H317" s="21">
        <f t="shared" si="23"/>
        <v>167.4</v>
      </c>
      <c r="I317" s="21">
        <f t="shared" si="23"/>
        <v>0</v>
      </c>
      <c r="J317" s="21">
        <f t="shared" si="23"/>
        <v>0</v>
      </c>
      <c r="K317" s="627"/>
    </row>
    <row r="318" spans="1:11" ht="12.75">
      <c r="A318" s="654"/>
      <c r="B318" s="654"/>
      <c r="C318" s="75" t="s">
        <v>17</v>
      </c>
      <c r="D318" s="655"/>
      <c r="E318" s="25">
        <f t="shared" si="21"/>
        <v>0</v>
      </c>
      <c r="F318" s="25">
        <f t="shared" si="23"/>
        <v>0</v>
      </c>
      <c r="G318" s="25">
        <f t="shared" si="23"/>
        <v>0</v>
      </c>
      <c r="H318" s="25">
        <f t="shared" si="23"/>
        <v>0</v>
      </c>
      <c r="I318" s="25">
        <f t="shared" si="23"/>
        <v>0</v>
      </c>
      <c r="J318" s="25">
        <f t="shared" si="23"/>
        <v>0</v>
      </c>
      <c r="K318" s="627"/>
    </row>
    <row r="319" spans="1:11" ht="15.75" customHeight="1">
      <c r="A319" s="656"/>
      <c r="B319" s="656" t="s">
        <v>64</v>
      </c>
      <c r="C319" s="76" t="s">
        <v>14</v>
      </c>
      <c r="D319" s="658">
        <f>E319+E320+E321</f>
        <v>954</v>
      </c>
      <c r="E319" s="46">
        <f t="shared" si="21"/>
        <v>954</v>
      </c>
      <c r="F319" s="46">
        <v>0</v>
      </c>
      <c r="G319" s="46">
        <v>0</v>
      </c>
      <c r="H319" s="46">
        <v>0</v>
      </c>
      <c r="I319" s="46">
        <v>954</v>
      </c>
      <c r="J319" s="46">
        <v>0</v>
      </c>
      <c r="K319" s="627"/>
    </row>
    <row r="320" spans="1:11" ht="12.75">
      <c r="A320" s="656"/>
      <c r="B320" s="656"/>
      <c r="C320" s="77" t="s">
        <v>16</v>
      </c>
      <c r="D320" s="658"/>
      <c r="E320" s="47">
        <f t="shared" si="21"/>
        <v>0</v>
      </c>
      <c r="F320" s="47">
        <v>0</v>
      </c>
      <c r="G320" s="47">
        <v>0</v>
      </c>
      <c r="H320" s="47">
        <v>0</v>
      </c>
      <c r="I320" s="47">
        <v>0</v>
      </c>
      <c r="J320" s="47">
        <v>0</v>
      </c>
      <c r="K320" s="627"/>
    </row>
    <row r="321" spans="1:11" ht="12.75">
      <c r="A321" s="656"/>
      <c r="B321" s="656"/>
      <c r="C321" s="78" t="s">
        <v>17</v>
      </c>
      <c r="D321" s="658"/>
      <c r="E321" s="48">
        <f t="shared" si="21"/>
        <v>0</v>
      </c>
      <c r="F321" s="48">
        <v>0</v>
      </c>
      <c r="G321" s="48">
        <v>0</v>
      </c>
      <c r="H321" s="48">
        <v>0</v>
      </c>
      <c r="I321" s="48">
        <v>0</v>
      </c>
      <c r="J321" s="48">
        <v>0</v>
      </c>
      <c r="K321" s="627"/>
    </row>
    <row r="322" spans="1:11" ht="13.5" customHeight="1">
      <c r="A322" s="656"/>
      <c r="B322" s="656" t="s">
        <v>58</v>
      </c>
      <c r="C322" s="76" t="s">
        <v>14</v>
      </c>
      <c r="D322" s="658">
        <f>E322+E323+E324</f>
        <v>1311</v>
      </c>
      <c r="E322" s="46">
        <f t="shared" si="21"/>
        <v>1311</v>
      </c>
      <c r="F322" s="46">
        <v>0</v>
      </c>
      <c r="G322" s="46">
        <v>0</v>
      </c>
      <c r="H322" s="46">
        <v>0</v>
      </c>
      <c r="I322" s="46">
        <v>1311</v>
      </c>
      <c r="J322" s="46">
        <v>0</v>
      </c>
      <c r="K322" s="627"/>
    </row>
    <row r="323" spans="1:11" ht="12.75">
      <c r="A323" s="656"/>
      <c r="B323" s="656"/>
      <c r="C323" s="77" t="s">
        <v>16</v>
      </c>
      <c r="D323" s="658"/>
      <c r="E323" s="47">
        <f t="shared" si="21"/>
        <v>0</v>
      </c>
      <c r="F323" s="47">
        <v>0</v>
      </c>
      <c r="G323" s="47">
        <v>0</v>
      </c>
      <c r="H323" s="47">
        <v>0</v>
      </c>
      <c r="I323" s="47">
        <v>0</v>
      </c>
      <c r="J323" s="47">
        <v>0</v>
      </c>
      <c r="K323" s="627"/>
    </row>
    <row r="324" spans="1:11" ht="12.75">
      <c r="A324" s="656"/>
      <c r="B324" s="656"/>
      <c r="C324" s="78" t="s">
        <v>17</v>
      </c>
      <c r="D324" s="658"/>
      <c r="E324" s="48">
        <f t="shared" si="21"/>
        <v>0</v>
      </c>
      <c r="F324" s="48">
        <v>0</v>
      </c>
      <c r="G324" s="48">
        <v>0</v>
      </c>
      <c r="H324" s="48">
        <v>0</v>
      </c>
      <c r="I324" s="48">
        <v>0</v>
      </c>
      <c r="J324" s="48">
        <v>0</v>
      </c>
      <c r="K324" s="627"/>
    </row>
    <row r="325" spans="1:11" ht="15.75" customHeight="1" thickBot="1">
      <c r="A325" s="656"/>
      <c r="B325" s="656" t="s">
        <v>65</v>
      </c>
      <c r="C325" s="76" t="s">
        <v>14</v>
      </c>
      <c r="D325" s="658">
        <f>E325+E326+E327</f>
        <v>575</v>
      </c>
      <c r="E325" s="46">
        <f t="shared" si="21"/>
        <v>575</v>
      </c>
      <c r="F325" s="46">
        <v>0</v>
      </c>
      <c r="G325" s="46">
        <v>0</v>
      </c>
      <c r="H325" s="46">
        <v>0</v>
      </c>
      <c r="I325" s="46">
        <v>575</v>
      </c>
      <c r="J325" s="46">
        <v>0</v>
      </c>
      <c r="K325" s="627"/>
    </row>
    <row r="326" spans="1:11" ht="13.5" thickBot="1">
      <c r="A326" s="656"/>
      <c r="B326" s="656"/>
      <c r="C326" s="77" t="s">
        <v>16</v>
      </c>
      <c r="D326" s="658"/>
      <c r="E326" s="47">
        <f t="shared" si="21"/>
        <v>0</v>
      </c>
      <c r="F326" s="47">
        <v>0</v>
      </c>
      <c r="G326" s="47">
        <v>0</v>
      </c>
      <c r="H326" s="47">
        <v>0</v>
      </c>
      <c r="I326" s="47">
        <v>0</v>
      </c>
      <c r="J326" s="47">
        <v>0</v>
      </c>
      <c r="K326" s="627"/>
    </row>
    <row r="327" spans="1:11" ht="13.5" thickBot="1">
      <c r="A327" s="656"/>
      <c r="B327" s="656"/>
      <c r="C327" s="78" t="s">
        <v>17</v>
      </c>
      <c r="D327" s="658"/>
      <c r="E327" s="48">
        <f t="shared" si="21"/>
        <v>0</v>
      </c>
      <c r="F327" s="48">
        <v>0</v>
      </c>
      <c r="G327" s="48">
        <v>0</v>
      </c>
      <c r="H327" s="48">
        <v>0</v>
      </c>
      <c r="I327" s="48">
        <v>0</v>
      </c>
      <c r="J327" s="48">
        <v>0</v>
      </c>
      <c r="K327" s="627"/>
    </row>
    <row r="328" spans="1:11" ht="13.5" customHeight="1">
      <c r="A328" s="656"/>
      <c r="B328" s="656" t="s">
        <v>66</v>
      </c>
      <c r="C328" s="76" t="s">
        <v>14</v>
      </c>
      <c r="D328" s="658">
        <f>E328+E329+E330</f>
        <v>29</v>
      </c>
      <c r="E328" s="46">
        <f t="shared" si="21"/>
        <v>29</v>
      </c>
      <c r="F328" s="46">
        <v>0</v>
      </c>
      <c r="G328" s="46">
        <v>0</v>
      </c>
      <c r="H328" s="46">
        <v>0</v>
      </c>
      <c r="I328" s="46">
        <v>29</v>
      </c>
      <c r="J328" s="46">
        <v>0</v>
      </c>
      <c r="K328" s="627"/>
    </row>
    <row r="329" spans="1:11" ht="12.75">
      <c r="A329" s="656"/>
      <c r="B329" s="656"/>
      <c r="C329" s="77" t="s">
        <v>16</v>
      </c>
      <c r="D329" s="658"/>
      <c r="E329" s="47">
        <f t="shared" si="21"/>
        <v>0</v>
      </c>
      <c r="F329" s="47">
        <v>0</v>
      </c>
      <c r="G329" s="47">
        <v>0</v>
      </c>
      <c r="H329" s="47">
        <v>0</v>
      </c>
      <c r="I329" s="47">
        <v>0</v>
      </c>
      <c r="J329" s="47">
        <v>0</v>
      </c>
      <c r="K329" s="627"/>
    </row>
    <row r="330" spans="1:11" ht="12.75">
      <c r="A330" s="656"/>
      <c r="B330" s="656"/>
      <c r="C330" s="23" t="s">
        <v>17</v>
      </c>
      <c r="D330" s="658"/>
      <c r="E330" s="48">
        <f t="shared" si="21"/>
        <v>0</v>
      </c>
      <c r="F330" s="48">
        <v>0</v>
      </c>
      <c r="G330" s="48">
        <v>0</v>
      </c>
      <c r="H330" s="48">
        <v>0</v>
      </c>
      <c r="I330" s="48">
        <v>0</v>
      </c>
      <c r="J330" s="48">
        <v>0</v>
      </c>
      <c r="K330" s="627"/>
    </row>
    <row r="331" spans="1:11" ht="13.5" customHeight="1">
      <c r="A331" s="656"/>
      <c r="B331" s="656" t="s">
        <v>59</v>
      </c>
      <c r="C331" s="76" t="s">
        <v>14</v>
      </c>
      <c r="D331" s="658">
        <f>E331+E332+E333</f>
        <v>386</v>
      </c>
      <c r="E331" s="46">
        <f aca="true" t="shared" si="24" ref="E331:E354">SUM(F331:J331)</f>
        <v>386</v>
      </c>
      <c r="F331" s="46">
        <v>0</v>
      </c>
      <c r="G331" s="46">
        <v>0</v>
      </c>
      <c r="H331" s="46">
        <v>0</v>
      </c>
      <c r="I331" s="46">
        <v>386</v>
      </c>
      <c r="J331" s="46">
        <v>0</v>
      </c>
      <c r="K331" s="627"/>
    </row>
    <row r="332" spans="1:11" ht="12.75">
      <c r="A332" s="656"/>
      <c r="B332" s="656"/>
      <c r="C332" s="77" t="s">
        <v>16</v>
      </c>
      <c r="D332" s="658"/>
      <c r="E332" s="47">
        <f t="shared" si="24"/>
        <v>0</v>
      </c>
      <c r="F332" s="47">
        <v>0</v>
      </c>
      <c r="G332" s="47">
        <v>0</v>
      </c>
      <c r="H332" s="47">
        <v>0</v>
      </c>
      <c r="I332" s="47">
        <v>0</v>
      </c>
      <c r="J332" s="47">
        <v>0</v>
      </c>
      <c r="K332" s="627"/>
    </row>
    <row r="333" spans="1:11" ht="12.75">
      <c r="A333" s="656"/>
      <c r="B333" s="656"/>
      <c r="C333" s="78" t="s">
        <v>17</v>
      </c>
      <c r="D333" s="658"/>
      <c r="E333" s="48">
        <f t="shared" si="24"/>
        <v>0</v>
      </c>
      <c r="F333" s="48">
        <v>0</v>
      </c>
      <c r="G333" s="48">
        <v>0</v>
      </c>
      <c r="H333" s="48">
        <v>0</v>
      </c>
      <c r="I333" s="48">
        <v>0</v>
      </c>
      <c r="J333" s="48">
        <v>0</v>
      </c>
      <c r="K333" s="627"/>
    </row>
    <row r="334" spans="1:11" ht="13.5" customHeight="1">
      <c r="A334" s="656"/>
      <c r="B334" s="656" t="s">
        <v>67</v>
      </c>
      <c r="C334" s="76" t="s">
        <v>14</v>
      </c>
      <c r="D334" s="658">
        <f>E334+E335+E336</f>
        <v>322</v>
      </c>
      <c r="E334" s="46">
        <f t="shared" si="24"/>
        <v>322</v>
      </c>
      <c r="F334" s="46">
        <v>0</v>
      </c>
      <c r="G334" s="46">
        <v>0</v>
      </c>
      <c r="H334" s="46">
        <v>0</v>
      </c>
      <c r="I334" s="46">
        <v>322</v>
      </c>
      <c r="J334" s="46">
        <v>0</v>
      </c>
      <c r="K334" s="627"/>
    </row>
    <row r="335" spans="1:11" ht="12.75">
      <c r="A335" s="656"/>
      <c r="B335" s="656"/>
      <c r="C335" s="77" t="s">
        <v>16</v>
      </c>
      <c r="D335" s="658"/>
      <c r="E335" s="47">
        <f t="shared" si="24"/>
        <v>0</v>
      </c>
      <c r="F335" s="47">
        <v>0</v>
      </c>
      <c r="G335" s="47">
        <v>0</v>
      </c>
      <c r="H335" s="47">
        <v>0</v>
      </c>
      <c r="I335" s="47">
        <v>0</v>
      </c>
      <c r="J335" s="47">
        <v>0</v>
      </c>
      <c r="K335" s="627"/>
    </row>
    <row r="336" spans="1:11" ht="12.75">
      <c r="A336" s="656"/>
      <c r="B336" s="656"/>
      <c r="C336" s="78" t="s">
        <v>17</v>
      </c>
      <c r="D336" s="658"/>
      <c r="E336" s="48">
        <f t="shared" si="24"/>
        <v>0</v>
      </c>
      <c r="F336" s="48">
        <v>0</v>
      </c>
      <c r="G336" s="48">
        <v>0</v>
      </c>
      <c r="H336" s="48">
        <v>0</v>
      </c>
      <c r="I336" s="48">
        <v>0</v>
      </c>
      <c r="J336" s="48">
        <v>0</v>
      </c>
      <c r="K336" s="627"/>
    </row>
    <row r="337" spans="1:11" ht="13.5" customHeight="1">
      <c r="A337" s="656"/>
      <c r="B337" s="656" t="s">
        <v>54</v>
      </c>
      <c r="C337" s="76" t="s">
        <v>14</v>
      </c>
      <c r="D337" s="658">
        <f>E337+E338+E339</f>
        <v>186</v>
      </c>
      <c r="E337" s="46">
        <f t="shared" si="24"/>
        <v>18.6</v>
      </c>
      <c r="F337" s="46">
        <v>0</v>
      </c>
      <c r="G337" s="79">
        <v>0</v>
      </c>
      <c r="H337" s="46">
        <v>18.6</v>
      </c>
      <c r="I337" s="46">
        <v>0</v>
      </c>
      <c r="J337" s="46">
        <v>0</v>
      </c>
      <c r="K337" s="627"/>
    </row>
    <row r="338" spans="1:11" ht="12.75">
      <c r="A338" s="656"/>
      <c r="B338" s="656"/>
      <c r="C338" s="77" t="s">
        <v>16</v>
      </c>
      <c r="D338" s="658"/>
      <c r="E338" s="47">
        <f t="shared" si="24"/>
        <v>167.4</v>
      </c>
      <c r="F338" s="47">
        <v>0</v>
      </c>
      <c r="G338" s="80">
        <v>0</v>
      </c>
      <c r="H338" s="47">
        <v>167.4</v>
      </c>
      <c r="I338" s="47">
        <v>0</v>
      </c>
      <c r="J338" s="47">
        <v>0</v>
      </c>
      <c r="K338" s="627"/>
    </row>
    <row r="339" spans="1:11" ht="16.5" customHeight="1">
      <c r="A339" s="656"/>
      <c r="B339" s="656"/>
      <c r="C339" s="78" t="s">
        <v>17</v>
      </c>
      <c r="D339" s="658"/>
      <c r="E339" s="48">
        <f t="shared" si="24"/>
        <v>0</v>
      </c>
      <c r="F339" s="48">
        <v>0</v>
      </c>
      <c r="G339" s="81">
        <v>0</v>
      </c>
      <c r="H339" s="48">
        <v>0</v>
      </c>
      <c r="I339" s="48">
        <v>0</v>
      </c>
      <c r="J339" s="48">
        <v>0</v>
      </c>
      <c r="K339" s="627"/>
    </row>
    <row r="340" spans="1:11" ht="13.5" customHeight="1">
      <c r="A340" s="656"/>
      <c r="B340" s="656" t="s">
        <v>60</v>
      </c>
      <c r="C340" s="76" t="s">
        <v>14</v>
      </c>
      <c r="D340" s="658">
        <f>E340+E341+E342</f>
        <v>1453</v>
      </c>
      <c r="E340" s="46">
        <f t="shared" si="24"/>
        <v>1453</v>
      </c>
      <c r="F340" s="46">
        <v>0</v>
      </c>
      <c r="G340" s="46">
        <v>0</v>
      </c>
      <c r="H340" s="46">
        <v>0</v>
      </c>
      <c r="I340" s="46">
        <v>0</v>
      </c>
      <c r="J340" s="46">
        <v>1453</v>
      </c>
      <c r="K340" s="627"/>
    </row>
    <row r="341" spans="1:11" ht="12.75">
      <c r="A341" s="656"/>
      <c r="B341" s="656"/>
      <c r="C341" s="77" t="s">
        <v>16</v>
      </c>
      <c r="D341" s="658"/>
      <c r="E341" s="47">
        <f t="shared" si="24"/>
        <v>0</v>
      </c>
      <c r="F341" s="47">
        <v>0</v>
      </c>
      <c r="G341" s="47">
        <v>0</v>
      </c>
      <c r="H341" s="47">
        <v>0</v>
      </c>
      <c r="I341" s="47">
        <v>0</v>
      </c>
      <c r="J341" s="47">
        <v>0</v>
      </c>
      <c r="K341" s="627"/>
    </row>
    <row r="342" spans="1:11" ht="12.75">
      <c r="A342" s="656"/>
      <c r="B342" s="656"/>
      <c r="C342" s="78" t="s">
        <v>17</v>
      </c>
      <c r="D342" s="658"/>
      <c r="E342" s="48">
        <f t="shared" si="24"/>
        <v>0</v>
      </c>
      <c r="F342" s="48">
        <v>0</v>
      </c>
      <c r="G342" s="48">
        <v>0</v>
      </c>
      <c r="H342" s="48">
        <v>0</v>
      </c>
      <c r="I342" s="48">
        <v>0</v>
      </c>
      <c r="J342" s="48">
        <v>0</v>
      </c>
      <c r="K342" s="627"/>
    </row>
    <row r="343" spans="1:11" ht="13.5" customHeight="1">
      <c r="A343" s="656"/>
      <c r="B343" s="656" t="s">
        <v>71</v>
      </c>
      <c r="C343" s="76" t="s">
        <v>14</v>
      </c>
      <c r="D343" s="658">
        <f>E343+E344+E345</f>
        <v>376</v>
      </c>
      <c r="E343" s="46">
        <f t="shared" si="24"/>
        <v>376</v>
      </c>
      <c r="F343" s="46">
        <v>0</v>
      </c>
      <c r="G343" s="46">
        <v>0</v>
      </c>
      <c r="H343" s="46">
        <v>0</v>
      </c>
      <c r="I343" s="46">
        <v>0</v>
      </c>
      <c r="J343" s="46">
        <v>376</v>
      </c>
      <c r="K343" s="627"/>
    </row>
    <row r="344" spans="1:11" ht="12.75">
      <c r="A344" s="656"/>
      <c r="B344" s="656"/>
      <c r="C344" s="77" t="s">
        <v>16</v>
      </c>
      <c r="D344" s="658"/>
      <c r="E344" s="47">
        <f t="shared" si="24"/>
        <v>0</v>
      </c>
      <c r="F344" s="47">
        <v>0</v>
      </c>
      <c r="G344" s="47">
        <v>0</v>
      </c>
      <c r="H344" s="47">
        <v>0</v>
      </c>
      <c r="I344" s="47">
        <v>0</v>
      </c>
      <c r="J344" s="47">
        <v>0</v>
      </c>
      <c r="K344" s="627"/>
    </row>
    <row r="345" spans="1:11" ht="12.75">
      <c r="A345" s="656"/>
      <c r="B345" s="656"/>
      <c r="C345" s="78" t="s">
        <v>17</v>
      </c>
      <c r="D345" s="658"/>
      <c r="E345" s="48">
        <f t="shared" si="24"/>
        <v>0</v>
      </c>
      <c r="F345" s="48">
        <v>0</v>
      </c>
      <c r="G345" s="48">
        <v>0</v>
      </c>
      <c r="H345" s="48">
        <v>0</v>
      </c>
      <c r="I345" s="48">
        <v>0</v>
      </c>
      <c r="J345" s="48">
        <v>0</v>
      </c>
      <c r="K345" s="627"/>
    </row>
    <row r="346" spans="1:11" ht="13.5" customHeight="1">
      <c r="A346" s="656"/>
      <c r="B346" s="656" t="s">
        <v>62</v>
      </c>
      <c r="C346" s="76" t="s">
        <v>14</v>
      </c>
      <c r="D346" s="658">
        <f>E346+E347+E348</f>
        <v>351</v>
      </c>
      <c r="E346" s="46">
        <f t="shared" si="24"/>
        <v>351</v>
      </c>
      <c r="F346" s="46">
        <v>0</v>
      </c>
      <c r="G346" s="46">
        <v>0</v>
      </c>
      <c r="H346" s="46">
        <v>0</v>
      </c>
      <c r="I346" s="46">
        <v>0</v>
      </c>
      <c r="J346" s="46">
        <v>351</v>
      </c>
      <c r="K346" s="627"/>
    </row>
    <row r="347" spans="1:11" ht="12.75">
      <c r="A347" s="656"/>
      <c r="B347" s="656"/>
      <c r="C347" s="77" t="s">
        <v>16</v>
      </c>
      <c r="D347" s="658"/>
      <c r="E347" s="47">
        <f t="shared" si="24"/>
        <v>0</v>
      </c>
      <c r="F347" s="47">
        <v>0</v>
      </c>
      <c r="G347" s="47">
        <v>0</v>
      </c>
      <c r="H347" s="47">
        <v>0</v>
      </c>
      <c r="I347" s="47">
        <v>0</v>
      </c>
      <c r="J347" s="47">
        <v>0</v>
      </c>
      <c r="K347" s="627"/>
    </row>
    <row r="348" spans="1:11" ht="12.75">
      <c r="A348" s="656"/>
      <c r="B348" s="656"/>
      <c r="C348" s="78" t="s">
        <v>17</v>
      </c>
      <c r="D348" s="658"/>
      <c r="E348" s="48">
        <f t="shared" si="24"/>
        <v>0</v>
      </c>
      <c r="F348" s="48">
        <v>0</v>
      </c>
      <c r="G348" s="48">
        <v>0</v>
      </c>
      <c r="H348" s="48">
        <v>0</v>
      </c>
      <c r="I348" s="48">
        <v>0</v>
      </c>
      <c r="J348" s="48">
        <v>0</v>
      </c>
      <c r="K348" s="627"/>
    </row>
    <row r="349" spans="1:11" ht="13.5" customHeight="1">
      <c r="A349" s="661"/>
      <c r="B349" s="662" t="s">
        <v>74</v>
      </c>
      <c r="C349" s="68" t="s">
        <v>14</v>
      </c>
      <c r="D349" s="663">
        <f>E349+E350+E351</f>
        <v>147941.49000000002</v>
      </c>
      <c r="E349" s="58">
        <f t="shared" si="24"/>
        <v>128446.82900000001</v>
      </c>
      <c r="F349" s="58">
        <f aca="true" t="shared" si="25" ref="F349:J350">F139+F142+F145+F148+F184+F217+F250+F283+F316</f>
        <v>0</v>
      </c>
      <c r="G349" s="58">
        <f t="shared" si="25"/>
        <v>346</v>
      </c>
      <c r="H349" s="58">
        <f t="shared" si="25"/>
        <v>71351.407</v>
      </c>
      <c r="I349" s="58">
        <f t="shared" si="25"/>
        <v>22249.622</v>
      </c>
      <c r="J349" s="58">
        <f t="shared" si="25"/>
        <v>34499.8</v>
      </c>
      <c r="K349" s="627"/>
    </row>
    <row r="350" spans="1:11" ht="12.75">
      <c r="A350" s="661"/>
      <c r="B350" s="662"/>
      <c r="C350" s="59" t="s">
        <v>16</v>
      </c>
      <c r="D350" s="663"/>
      <c r="E350" s="60">
        <f t="shared" si="24"/>
        <v>19494.661</v>
      </c>
      <c r="F350" s="60">
        <f t="shared" si="25"/>
        <v>0</v>
      </c>
      <c r="G350" s="60">
        <f t="shared" si="25"/>
        <v>2705.5</v>
      </c>
      <c r="H350" s="60">
        <f t="shared" si="25"/>
        <v>12294.762999999999</v>
      </c>
      <c r="I350" s="60">
        <f t="shared" si="25"/>
        <v>4064.198</v>
      </c>
      <c r="J350" s="60">
        <f t="shared" si="25"/>
        <v>430.2</v>
      </c>
      <c r="K350" s="627"/>
    </row>
    <row r="351" spans="1:11" ht="12.75">
      <c r="A351" s="661"/>
      <c r="B351" s="662"/>
      <c r="C351" s="61" t="s">
        <v>17</v>
      </c>
      <c r="D351" s="663"/>
      <c r="E351" s="62">
        <f t="shared" si="24"/>
        <v>0</v>
      </c>
      <c r="F351" s="62">
        <f>E141+F144+E147+F150+F186+F219+F252+F285+F318</f>
        <v>0</v>
      </c>
      <c r="G351" s="62">
        <f>G141+G144+G147+G150+G186+G219+G252+G285+G318</f>
        <v>0</v>
      </c>
      <c r="H351" s="62">
        <f>H141+H144+H147+H150+H186+H219+H252+H285+H318</f>
        <v>0</v>
      </c>
      <c r="I351" s="62">
        <f>I141+I144+I147+I150+I186+I219+I252+I285+I318</f>
        <v>0</v>
      </c>
      <c r="J351" s="62">
        <f>J141+J144+J147+J150+J186+J219+J252+J285+J318</f>
        <v>0</v>
      </c>
      <c r="K351" s="627"/>
    </row>
    <row r="352" spans="1:11" ht="15.75" customHeight="1">
      <c r="A352" s="664"/>
      <c r="B352" s="665" t="s">
        <v>75</v>
      </c>
      <c r="C352" s="82" t="s">
        <v>14</v>
      </c>
      <c r="D352" s="666">
        <f>E352+E353+E354</f>
        <v>1061971.82</v>
      </c>
      <c r="E352" s="83">
        <f t="shared" si="24"/>
        <v>520134.71900000004</v>
      </c>
      <c r="F352" s="83">
        <f aca="true" t="shared" si="26" ref="F352:J354">F72+F131+F349</f>
        <v>10677.905</v>
      </c>
      <c r="G352" s="83">
        <f t="shared" si="26"/>
        <v>25302.051</v>
      </c>
      <c r="H352" s="83">
        <f t="shared" si="26"/>
        <v>262227.586</v>
      </c>
      <c r="I352" s="83">
        <f t="shared" si="26"/>
        <v>116821.17700000001</v>
      </c>
      <c r="J352" s="83">
        <f t="shared" si="26"/>
        <v>105106</v>
      </c>
      <c r="K352" s="627"/>
    </row>
    <row r="353" spans="1:11" ht="15">
      <c r="A353" s="664"/>
      <c r="B353" s="665"/>
      <c r="C353" s="84" t="s">
        <v>16</v>
      </c>
      <c r="D353" s="666"/>
      <c r="E353" s="85">
        <f t="shared" si="24"/>
        <v>289441.12100000004</v>
      </c>
      <c r="F353" s="85">
        <f t="shared" si="26"/>
        <v>0</v>
      </c>
      <c r="G353" s="85">
        <f t="shared" si="26"/>
        <v>3755</v>
      </c>
      <c r="H353" s="85">
        <f t="shared" si="26"/>
        <v>193262.21800000002</v>
      </c>
      <c r="I353" s="85">
        <f t="shared" si="26"/>
        <v>43373.003</v>
      </c>
      <c r="J353" s="85">
        <f t="shared" si="26"/>
        <v>49050.899999999994</v>
      </c>
      <c r="K353" s="627"/>
    </row>
    <row r="354" spans="1:11" ht="15.75" thickBot="1">
      <c r="A354" s="664"/>
      <c r="B354" s="665"/>
      <c r="C354" s="86" t="s">
        <v>17</v>
      </c>
      <c r="D354" s="666"/>
      <c r="E354" s="87">
        <f t="shared" si="24"/>
        <v>252395.97999999998</v>
      </c>
      <c r="F354" s="87">
        <f t="shared" si="26"/>
        <v>0</v>
      </c>
      <c r="G354" s="87">
        <f t="shared" si="26"/>
        <v>171851.55</v>
      </c>
      <c r="H354" s="87">
        <f t="shared" si="26"/>
        <v>48594.43</v>
      </c>
      <c r="I354" s="87">
        <f t="shared" si="26"/>
        <v>31950</v>
      </c>
      <c r="J354" s="87">
        <f t="shared" si="26"/>
        <v>0</v>
      </c>
      <c r="K354" s="627"/>
    </row>
    <row r="355" spans="1:11" ht="15" hidden="1">
      <c r="A355" s="64"/>
      <c r="B355" s="88"/>
      <c r="C355" s="64"/>
      <c r="D355" s="89"/>
      <c r="E355" s="89"/>
      <c r="F355" s="89"/>
      <c r="G355" s="89"/>
      <c r="H355" s="89"/>
      <c r="I355" s="89"/>
      <c r="J355" s="89"/>
      <c r="K355" s="627"/>
    </row>
    <row r="356" spans="1:11" ht="15" hidden="1">
      <c r="A356" s="64"/>
      <c r="B356" s="88"/>
      <c r="C356" s="64"/>
      <c r="D356" s="89"/>
      <c r="E356" s="89"/>
      <c r="F356" s="89"/>
      <c r="G356" s="89"/>
      <c r="H356" s="89"/>
      <c r="I356" s="89"/>
      <c r="J356" s="89"/>
      <c r="K356" s="627"/>
    </row>
    <row r="357" spans="1:11" ht="12.75" hidden="1">
      <c r="A357" s="56"/>
      <c r="B357" s="56"/>
      <c r="C357" s="56"/>
      <c r="D357" s="90"/>
      <c r="E357" s="90"/>
      <c r="F357" s="91"/>
      <c r="G357" s="91"/>
      <c r="H357" s="91"/>
      <c r="I357" s="91"/>
      <c r="J357" s="91"/>
      <c r="K357" s="627"/>
    </row>
    <row r="358" spans="1:11" ht="15.75" thickBot="1">
      <c r="A358" s="92"/>
      <c r="B358" s="92" t="s">
        <v>76</v>
      </c>
      <c r="C358" s="92"/>
      <c r="D358" s="93"/>
      <c r="E358" s="93">
        <f>SUM(F358:J358)</f>
        <v>1061971.8199999998</v>
      </c>
      <c r="F358" s="93">
        <f>F352+F353+F354</f>
        <v>10677.905</v>
      </c>
      <c r="G358" s="93">
        <f>G352+G353+G354</f>
        <v>200908.601</v>
      </c>
      <c r="H358" s="93">
        <f>H352+H353+H354</f>
        <v>504084.234</v>
      </c>
      <c r="I358" s="93">
        <f>I352+I353+I354</f>
        <v>192144.18</v>
      </c>
      <c r="J358" s="93">
        <f>J352+J353+J354</f>
        <v>154156.9</v>
      </c>
      <c r="K358" s="94"/>
    </row>
    <row r="359" spans="4:10" ht="15">
      <c r="D359" s="95"/>
      <c r="F359" s="96"/>
      <c r="G359" s="96"/>
      <c r="H359" s="96"/>
      <c r="I359" s="96"/>
      <c r="J359" s="96"/>
    </row>
    <row r="360" spans="3:5" ht="12.75">
      <c r="C360" t="s">
        <v>77</v>
      </c>
      <c r="D360" s="660"/>
      <c r="E360" s="49"/>
    </row>
    <row r="361" spans="4:5" ht="12.75">
      <c r="D361" s="660"/>
      <c r="E361" t="s">
        <v>78</v>
      </c>
    </row>
    <row r="363" ht="12.75">
      <c r="F363" t="s">
        <v>77</v>
      </c>
    </row>
  </sheetData>
  <sheetProtection selectLockedCells="1" selectUnlockedCells="1"/>
  <mergeCells count="352">
    <mergeCell ref="D57:D59"/>
    <mergeCell ref="A346:A348"/>
    <mergeCell ref="B346:B348"/>
    <mergeCell ref="D346:D348"/>
    <mergeCell ref="A340:A342"/>
    <mergeCell ref="B340:B342"/>
    <mergeCell ref="D340:D342"/>
    <mergeCell ref="A343:A345"/>
    <mergeCell ref="D337:D339"/>
    <mergeCell ref="A331:A333"/>
    <mergeCell ref="D360:D361"/>
    <mergeCell ref="A349:A351"/>
    <mergeCell ref="B349:B351"/>
    <mergeCell ref="D349:D351"/>
    <mergeCell ref="A352:A354"/>
    <mergeCell ref="B352:B354"/>
    <mergeCell ref="D352:D354"/>
    <mergeCell ref="B331:B333"/>
    <mergeCell ref="D331:D333"/>
    <mergeCell ref="B343:B345"/>
    <mergeCell ref="D343:D345"/>
    <mergeCell ref="A334:A336"/>
    <mergeCell ref="B334:B336"/>
    <mergeCell ref="D334:D336"/>
    <mergeCell ref="A337:A339"/>
    <mergeCell ref="B337:B339"/>
    <mergeCell ref="A325:A327"/>
    <mergeCell ref="B325:B327"/>
    <mergeCell ref="D325:D327"/>
    <mergeCell ref="A328:A330"/>
    <mergeCell ref="B328:B330"/>
    <mergeCell ref="D328:D330"/>
    <mergeCell ref="A319:A321"/>
    <mergeCell ref="B319:B321"/>
    <mergeCell ref="D319:D321"/>
    <mergeCell ref="A322:A324"/>
    <mergeCell ref="B322:B324"/>
    <mergeCell ref="D322:D324"/>
    <mergeCell ref="A313:A315"/>
    <mergeCell ref="B313:B315"/>
    <mergeCell ref="D313:D315"/>
    <mergeCell ref="A316:A318"/>
    <mergeCell ref="B316:B318"/>
    <mergeCell ref="D316:D318"/>
    <mergeCell ref="A307:A309"/>
    <mergeCell ref="B307:B309"/>
    <mergeCell ref="D307:D309"/>
    <mergeCell ref="A310:A312"/>
    <mergeCell ref="B310:B312"/>
    <mergeCell ref="D310:D312"/>
    <mergeCell ref="A301:A303"/>
    <mergeCell ref="B301:B303"/>
    <mergeCell ref="D301:D303"/>
    <mergeCell ref="A304:A306"/>
    <mergeCell ref="B304:B306"/>
    <mergeCell ref="D304:D306"/>
    <mergeCell ref="A295:A297"/>
    <mergeCell ref="B295:B297"/>
    <mergeCell ref="D295:D297"/>
    <mergeCell ref="A298:A300"/>
    <mergeCell ref="B298:B300"/>
    <mergeCell ref="D298:D300"/>
    <mergeCell ref="A289:A291"/>
    <mergeCell ref="B289:B291"/>
    <mergeCell ref="D289:D291"/>
    <mergeCell ref="A292:A294"/>
    <mergeCell ref="B292:B294"/>
    <mergeCell ref="D292:D294"/>
    <mergeCell ref="A283:A285"/>
    <mergeCell ref="B283:B285"/>
    <mergeCell ref="D283:D285"/>
    <mergeCell ref="A286:A288"/>
    <mergeCell ref="B286:B288"/>
    <mergeCell ref="D286:D288"/>
    <mergeCell ref="A277:A279"/>
    <mergeCell ref="B277:B279"/>
    <mergeCell ref="D277:D279"/>
    <mergeCell ref="A280:A282"/>
    <mergeCell ref="B280:B282"/>
    <mergeCell ref="D280:D282"/>
    <mergeCell ref="A271:A273"/>
    <mergeCell ref="B271:B273"/>
    <mergeCell ref="D271:D273"/>
    <mergeCell ref="A274:A276"/>
    <mergeCell ref="B274:B276"/>
    <mergeCell ref="D274:D276"/>
    <mergeCell ref="A265:A267"/>
    <mergeCell ref="B265:B267"/>
    <mergeCell ref="D265:D267"/>
    <mergeCell ref="A268:A270"/>
    <mergeCell ref="B268:B270"/>
    <mergeCell ref="D268:D270"/>
    <mergeCell ref="A259:A261"/>
    <mergeCell ref="B259:B261"/>
    <mergeCell ref="D259:D261"/>
    <mergeCell ref="A262:A264"/>
    <mergeCell ref="B262:B264"/>
    <mergeCell ref="D262:D264"/>
    <mergeCell ref="A253:A255"/>
    <mergeCell ref="B253:B255"/>
    <mergeCell ref="D253:D255"/>
    <mergeCell ref="A256:A258"/>
    <mergeCell ref="B256:B258"/>
    <mergeCell ref="D256:D258"/>
    <mergeCell ref="A247:A249"/>
    <mergeCell ref="B247:B249"/>
    <mergeCell ref="D247:D249"/>
    <mergeCell ref="A250:A252"/>
    <mergeCell ref="B250:B252"/>
    <mergeCell ref="D250:D252"/>
    <mergeCell ref="A241:A243"/>
    <mergeCell ref="B241:B243"/>
    <mergeCell ref="D241:D243"/>
    <mergeCell ref="A244:A246"/>
    <mergeCell ref="B244:B246"/>
    <mergeCell ref="D244:D246"/>
    <mergeCell ref="A235:A237"/>
    <mergeCell ref="B235:B237"/>
    <mergeCell ref="D235:D237"/>
    <mergeCell ref="A238:A240"/>
    <mergeCell ref="B238:B240"/>
    <mergeCell ref="D238:D240"/>
    <mergeCell ref="A229:A231"/>
    <mergeCell ref="B229:B231"/>
    <mergeCell ref="D229:D231"/>
    <mergeCell ref="A232:A234"/>
    <mergeCell ref="B232:B234"/>
    <mergeCell ref="D232:D234"/>
    <mergeCell ref="A223:A225"/>
    <mergeCell ref="B223:B225"/>
    <mergeCell ref="D223:D225"/>
    <mergeCell ref="A226:A228"/>
    <mergeCell ref="B226:B228"/>
    <mergeCell ref="D226:D228"/>
    <mergeCell ref="A217:A219"/>
    <mergeCell ref="B217:B219"/>
    <mergeCell ref="D217:D219"/>
    <mergeCell ref="A220:A222"/>
    <mergeCell ref="B220:B222"/>
    <mergeCell ref="D220:D222"/>
    <mergeCell ref="A211:A213"/>
    <mergeCell ref="B211:B213"/>
    <mergeCell ref="D211:D213"/>
    <mergeCell ref="A214:A216"/>
    <mergeCell ref="B214:B216"/>
    <mergeCell ref="D214:D216"/>
    <mergeCell ref="A205:A207"/>
    <mergeCell ref="B205:B207"/>
    <mergeCell ref="D205:D207"/>
    <mergeCell ref="A208:A210"/>
    <mergeCell ref="B208:B210"/>
    <mergeCell ref="D208:D210"/>
    <mergeCell ref="A199:A201"/>
    <mergeCell ref="B199:B201"/>
    <mergeCell ref="D199:D201"/>
    <mergeCell ref="A202:A204"/>
    <mergeCell ref="B202:B204"/>
    <mergeCell ref="D202:D204"/>
    <mergeCell ref="A193:A195"/>
    <mergeCell ref="B193:B195"/>
    <mergeCell ref="D193:D195"/>
    <mergeCell ref="A196:A198"/>
    <mergeCell ref="B196:B198"/>
    <mergeCell ref="D196:D198"/>
    <mergeCell ref="A187:A189"/>
    <mergeCell ref="B187:B189"/>
    <mergeCell ref="D187:D189"/>
    <mergeCell ref="A190:A192"/>
    <mergeCell ref="B190:B192"/>
    <mergeCell ref="D190:D192"/>
    <mergeCell ref="A181:A183"/>
    <mergeCell ref="B181:B183"/>
    <mergeCell ref="D181:D183"/>
    <mergeCell ref="A184:A186"/>
    <mergeCell ref="B184:B186"/>
    <mergeCell ref="D184:D186"/>
    <mergeCell ref="A175:A177"/>
    <mergeCell ref="B175:B177"/>
    <mergeCell ref="D175:D177"/>
    <mergeCell ref="A178:A180"/>
    <mergeCell ref="B178:B180"/>
    <mergeCell ref="D178:D180"/>
    <mergeCell ref="A169:A171"/>
    <mergeCell ref="B169:B171"/>
    <mergeCell ref="D169:D171"/>
    <mergeCell ref="A172:A174"/>
    <mergeCell ref="B172:B174"/>
    <mergeCell ref="D172:D174"/>
    <mergeCell ref="A163:A165"/>
    <mergeCell ref="B163:B165"/>
    <mergeCell ref="D163:D165"/>
    <mergeCell ref="A166:A168"/>
    <mergeCell ref="B166:B168"/>
    <mergeCell ref="D166:D168"/>
    <mergeCell ref="A157:A159"/>
    <mergeCell ref="B157:B159"/>
    <mergeCell ref="D157:D159"/>
    <mergeCell ref="A160:A162"/>
    <mergeCell ref="B160:B162"/>
    <mergeCell ref="D160:D162"/>
    <mergeCell ref="A151:A153"/>
    <mergeCell ref="B151:B153"/>
    <mergeCell ref="D151:D153"/>
    <mergeCell ref="A154:A156"/>
    <mergeCell ref="B154:B156"/>
    <mergeCell ref="D154:D156"/>
    <mergeCell ref="A145:A147"/>
    <mergeCell ref="B145:B147"/>
    <mergeCell ref="D145:D147"/>
    <mergeCell ref="A148:A150"/>
    <mergeCell ref="B148:B150"/>
    <mergeCell ref="D148:D150"/>
    <mergeCell ref="A139:A141"/>
    <mergeCell ref="B139:B141"/>
    <mergeCell ref="D139:D141"/>
    <mergeCell ref="A142:A144"/>
    <mergeCell ref="B142:B144"/>
    <mergeCell ref="D142:D144"/>
    <mergeCell ref="A134:A136"/>
    <mergeCell ref="B134:B136"/>
    <mergeCell ref="D134:D136"/>
    <mergeCell ref="A138:J138"/>
    <mergeCell ref="A128:A130"/>
    <mergeCell ref="B128:B130"/>
    <mergeCell ref="D128:D130"/>
    <mergeCell ref="A131:A133"/>
    <mergeCell ref="B131:B133"/>
    <mergeCell ref="D131:D133"/>
    <mergeCell ref="A122:A124"/>
    <mergeCell ref="B122:B124"/>
    <mergeCell ref="D122:D124"/>
    <mergeCell ref="A125:A127"/>
    <mergeCell ref="B125:B127"/>
    <mergeCell ref="D125:D127"/>
    <mergeCell ref="A116:A118"/>
    <mergeCell ref="B116:B118"/>
    <mergeCell ref="D116:D118"/>
    <mergeCell ref="A119:A121"/>
    <mergeCell ref="B119:B121"/>
    <mergeCell ref="D119:D121"/>
    <mergeCell ref="A110:A112"/>
    <mergeCell ref="B110:B112"/>
    <mergeCell ref="D110:D112"/>
    <mergeCell ref="A113:A115"/>
    <mergeCell ref="B113:B115"/>
    <mergeCell ref="D113:D115"/>
    <mergeCell ref="A104:A106"/>
    <mergeCell ref="B104:B106"/>
    <mergeCell ref="D104:D106"/>
    <mergeCell ref="A107:A109"/>
    <mergeCell ref="B107:B109"/>
    <mergeCell ref="D107:D109"/>
    <mergeCell ref="A98:A100"/>
    <mergeCell ref="B98:B100"/>
    <mergeCell ref="D98:D100"/>
    <mergeCell ref="A101:A103"/>
    <mergeCell ref="B101:B103"/>
    <mergeCell ref="D101:D103"/>
    <mergeCell ref="A92:A94"/>
    <mergeCell ref="B92:B94"/>
    <mergeCell ref="D92:D94"/>
    <mergeCell ref="A95:A97"/>
    <mergeCell ref="B95:B97"/>
    <mergeCell ref="D95:D97"/>
    <mergeCell ref="A83:A85"/>
    <mergeCell ref="B83:B85"/>
    <mergeCell ref="D83:D85"/>
    <mergeCell ref="A89:A91"/>
    <mergeCell ref="B89:B91"/>
    <mergeCell ref="D89:D91"/>
    <mergeCell ref="D86:D88"/>
    <mergeCell ref="A86:A88"/>
    <mergeCell ref="B86:B88"/>
    <mergeCell ref="D66:D68"/>
    <mergeCell ref="A72:A74"/>
    <mergeCell ref="B72:B74"/>
    <mergeCell ref="D72:D74"/>
    <mergeCell ref="A80:A82"/>
    <mergeCell ref="B80:B82"/>
    <mergeCell ref="D80:D82"/>
    <mergeCell ref="A69:A71"/>
    <mergeCell ref="B69:B71"/>
    <mergeCell ref="D69:D71"/>
    <mergeCell ref="D60:D62"/>
    <mergeCell ref="A63:A65"/>
    <mergeCell ref="B63:B65"/>
    <mergeCell ref="D48:D50"/>
    <mergeCell ref="A76:J76"/>
    <mergeCell ref="A77:A79"/>
    <mergeCell ref="B77:B79"/>
    <mergeCell ref="D77:D79"/>
    <mergeCell ref="A66:A68"/>
    <mergeCell ref="B66:B68"/>
    <mergeCell ref="A45:A47"/>
    <mergeCell ref="B45:B47"/>
    <mergeCell ref="A48:A50"/>
    <mergeCell ref="B48:B50"/>
    <mergeCell ref="A60:A62"/>
    <mergeCell ref="B60:B62"/>
    <mergeCell ref="A57:A59"/>
    <mergeCell ref="B57:B59"/>
    <mergeCell ref="D39:D41"/>
    <mergeCell ref="A42:A44"/>
    <mergeCell ref="B42:B44"/>
    <mergeCell ref="A36:A38"/>
    <mergeCell ref="B36:B38"/>
    <mergeCell ref="D36:D38"/>
    <mergeCell ref="A39:A41"/>
    <mergeCell ref="B39:B41"/>
    <mergeCell ref="A30:A32"/>
    <mergeCell ref="B30:B32"/>
    <mergeCell ref="D30:D32"/>
    <mergeCell ref="A33:A35"/>
    <mergeCell ref="B33:B35"/>
    <mergeCell ref="D33:D35"/>
    <mergeCell ref="B18:B20"/>
    <mergeCell ref="D18:D20"/>
    <mergeCell ref="A21:A23"/>
    <mergeCell ref="B21:B23"/>
    <mergeCell ref="D21:D23"/>
    <mergeCell ref="A24:A26"/>
    <mergeCell ref="B24:B26"/>
    <mergeCell ref="A12:A14"/>
    <mergeCell ref="B12:B14"/>
    <mergeCell ref="D12:D14"/>
    <mergeCell ref="K12:K357"/>
    <mergeCell ref="A15:A17"/>
    <mergeCell ref="B15:B17"/>
    <mergeCell ref="D15:D17"/>
    <mergeCell ref="A27:A29"/>
    <mergeCell ref="B27:B29"/>
    <mergeCell ref="D27:D29"/>
    <mergeCell ref="G2:K2"/>
    <mergeCell ref="E3:K3"/>
    <mergeCell ref="A5:K5"/>
    <mergeCell ref="A6:K6"/>
    <mergeCell ref="A9:A10"/>
    <mergeCell ref="B9:B10"/>
    <mergeCell ref="C9:C10"/>
    <mergeCell ref="D9:D10"/>
    <mergeCell ref="E9:E10"/>
    <mergeCell ref="K9:K10"/>
    <mergeCell ref="F9:J9"/>
    <mergeCell ref="D51:D53"/>
    <mergeCell ref="A51:A53"/>
    <mergeCell ref="B51:B53"/>
    <mergeCell ref="A54:A56"/>
    <mergeCell ref="B54:B56"/>
    <mergeCell ref="D54:D56"/>
    <mergeCell ref="A18:A20"/>
    <mergeCell ref="D24:D26"/>
    <mergeCell ref="A11:K11"/>
  </mergeCells>
  <printOptions/>
  <pageMargins left="0.7086614173228347" right="0.31496062992125984" top="0.7480314960629921" bottom="0.5118110236220472" header="0.5118110236220472" footer="0.5118110236220472"/>
  <pageSetup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50"/>
  <sheetViews>
    <sheetView zoomScalePageLayoutView="0" workbookViewId="0" topLeftCell="A1">
      <pane xSplit="5" ySplit="11" topLeftCell="F102" activePane="bottomRight" state="frozen"/>
      <selection pane="topLeft" activeCell="A1" sqref="A1"/>
      <selection pane="topRight" activeCell="F1" sqref="F1"/>
      <selection pane="bottomLeft" activeCell="A12" sqref="A12"/>
      <selection pane="bottomRight" activeCell="D42" sqref="D42:D44"/>
    </sheetView>
  </sheetViews>
  <sheetFormatPr defaultColWidth="11.57421875" defaultRowHeight="12.75"/>
  <cols>
    <col min="1" max="1" width="6.8515625" style="0" customWidth="1"/>
    <col min="2" max="2" width="80.7109375" style="0" customWidth="1"/>
    <col min="3" max="3" width="37.00390625" style="0" customWidth="1"/>
    <col min="4" max="4" width="16.140625" style="0" customWidth="1"/>
    <col min="5" max="5" width="13.57421875" style="0" hidden="1" customWidth="1"/>
    <col min="6" max="6" width="14.7109375" style="0" customWidth="1"/>
    <col min="7" max="7" width="16.140625" style="0" customWidth="1"/>
    <col min="8" max="8" width="15.28125" style="0" customWidth="1"/>
    <col min="9" max="9" width="14.57421875" style="0" customWidth="1"/>
    <col min="10" max="10" width="17.7109375" style="0" customWidth="1"/>
    <col min="11" max="11" width="13.00390625" style="0" customWidth="1"/>
    <col min="12" max="12" width="12.7109375" style="0" customWidth="1"/>
    <col min="13" max="13" width="12.28125" style="0" bestFit="1" customWidth="1"/>
  </cols>
  <sheetData>
    <row r="1" ht="12.75">
      <c r="L1" s="110" t="s">
        <v>0</v>
      </c>
    </row>
    <row r="2" spans="3:12" ht="12.75">
      <c r="C2" s="261"/>
      <c r="L2" s="110" t="s">
        <v>1</v>
      </c>
    </row>
    <row r="3" ht="12.75">
      <c r="L3" s="110" t="s">
        <v>2</v>
      </c>
    </row>
    <row r="4" spans="1:12" ht="13.5" customHeight="1">
      <c r="A4" s="1"/>
      <c r="B4" s="1"/>
      <c r="C4" s="1"/>
      <c r="D4" s="1"/>
      <c r="E4" s="6"/>
      <c r="F4" s="1"/>
      <c r="G4" s="1"/>
      <c r="H4" s="1"/>
      <c r="I4" s="1"/>
      <c r="J4" s="1"/>
      <c r="K4" s="1"/>
      <c r="L4" s="111" t="s">
        <v>119</v>
      </c>
    </row>
    <row r="5" spans="1:12" ht="15">
      <c r="A5" s="619" t="s">
        <v>3</v>
      </c>
      <c r="B5" s="619"/>
      <c r="C5" s="619"/>
      <c r="D5" s="619"/>
      <c r="E5" s="619"/>
      <c r="F5" s="619"/>
      <c r="G5" s="619"/>
      <c r="H5" s="619"/>
      <c r="I5" s="619"/>
      <c r="J5" s="619"/>
      <c r="K5" s="619"/>
      <c r="L5" s="619"/>
    </row>
    <row r="6" spans="1:12" ht="15.75" customHeight="1">
      <c r="A6" s="620" t="s">
        <v>4</v>
      </c>
      <c r="B6" s="620"/>
      <c r="C6" s="620"/>
      <c r="D6" s="620"/>
      <c r="E6" s="620"/>
      <c r="F6" s="620"/>
      <c r="G6" s="620"/>
      <c r="H6" s="620"/>
      <c r="I6" s="620"/>
      <c r="J6" s="620"/>
      <c r="K6" s="620"/>
      <c r="L6" s="620"/>
    </row>
    <row r="7" spans="1:12" ht="15.75" customHeight="1">
      <c r="A7" s="112"/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</row>
    <row r="8" spans="1:12" ht="12.75" customHeight="1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</row>
    <row r="9" spans="1:13" s="10" customFormat="1" ht="18.75" customHeight="1">
      <c r="A9" s="621" t="s">
        <v>5</v>
      </c>
      <c r="B9" s="622" t="s">
        <v>6</v>
      </c>
      <c r="C9" s="622" t="s">
        <v>7</v>
      </c>
      <c r="D9" s="622" t="s">
        <v>183</v>
      </c>
      <c r="E9" s="735" t="s">
        <v>157</v>
      </c>
      <c r="F9" s="610" t="s">
        <v>10</v>
      </c>
      <c r="G9" s="610"/>
      <c r="H9" s="610"/>
      <c r="I9" s="610"/>
      <c r="J9" s="610"/>
      <c r="K9" s="728" t="s">
        <v>128</v>
      </c>
      <c r="L9" s="623" t="s">
        <v>11</v>
      </c>
      <c r="M9" s="9"/>
    </row>
    <row r="10" spans="1:13" s="10" customFormat="1" ht="47.25" customHeight="1">
      <c r="A10" s="621"/>
      <c r="B10" s="622"/>
      <c r="C10" s="622"/>
      <c r="D10" s="622"/>
      <c r="E10" s="735"/>
      <c r="F10" s="11">
        <v>2011</v>
      </c>
      <c r="G10" s="11">
        <v>2012</v>
      </c>
      <c r="H10" s="11">
        <v>2013</v>
      </c>
      <c r="I10" s="11">
        <v>2014</v>
      </c>
      <c r="J10" s="11">
        <v>2015</v>
      </c>
      <c r="K10" s="729"/>
      <c r="L10" s="623"/>
      <c r="M10" s="9"/>
    </row>
    <row r="11" spans="1:13" s="10" customFormat="1" ht="19.5" customHeight="1" thickBot="1">
      <c r="A11" s="736" t="s">
        <v>12</v>
      </c>
      <c r="B11" s="736"/>
      <c r="C11" s="736"/>
      <c r="D11" s="736"/>
      <c r="E11" s="736"/>
      <c r="F11" s="736"/>
      <c r="G11" s="736"/>
      <c r="H11" s="736"/>
      <c r="I11" s="736"/>
      <c r="J11" s="736"/>
      <c r="K11" s="737"/>
      <c r="L11" s="736"/>
      <c r="M11" s="9"/>
    </row>
    <row r="12" spans="1:13" ht="13.5" customHeight="1" thickBot="1">
      <c r="A12" s="669">
        <v>1</v>
      </c>
      <c r="B12" s="680" t="s">
        <v>109</v>
      </c>
      <c r="C12" s="203" t="s">
        <v>14</v>
      </c>
      <c r="D12" s="673">
        <f>D15+D18</f>
        <v>156474400</v>
      </c>
      <c r="E12" s="279">
        <f aca="true" t="shared" si="0" ref="E12:E50">SUM(F12:J12)</f>
        <v>0</v>
      </c>
      <c r="F12" s="115">
        <f>F15+F18</f>
        <v>0</v>
      </c>
      <c r="G12" s="115">
        <f>G15+G18</f>
        <v>0</v>
      </c>
      <c r="H12" s="115">
        <f>H15+H18</f>
        <v>0</v>
      </c>
      <c r="I12" s="115">
        <f>I15+I18</f>
        <v>0</v>
      </c>
      <c r="J12" s="117">
        <f>J15+J18</f>
        <v>0</v>
      </c>
      <c r="K12" s="118"/>
      <c r="L12" s="627" t="s">
        <v>15</v>
      </c>
      <c r="M12" s="1"/>
    </row>
    <row r="13" spans="1:13" ht="13.5" customHeight="1" thickBot="1">
      <c r="A13" s="669"/>
      <c r="B13" s="680"/>
      <c r="C13" s="205" t="s">
        <v>16</v>
      </c>
      <c r="D13" s="673"/>
      <c r="E13" s="280">
        <f t="shared" si="0"/>
        <v>0</v>
      </c>
      <c r="F13" s="119">
        <v>0</v>
      </c>
      <c r="G13" s="119">
        <f aca="true" t="shared" si="1" ref="G13:J14">G16+G19</f>
        <v>0</v>
      </c>
      <c r="H13" s="119">
        <f t="shared" si="1"/>
        <v>0</v>
      </c>
      <c r="I13" s="119">
        <f t="shared" si="1"/>
        <v>0</v>
      </c>
      <c r="J13" s="121">
        <f t="shared" si="1"/>
        <v>0</v>
      </c>
      <c r="K13" s="122"/>
      <c r="L13" s="627"/>
      <c r="M13" s="1"/>
    </row>
    <row r="14" spans="1:13" ht="15" customHeight="1" thickBot="1">
      <c r="A14" s="669"/>
      <c r="B14" s="680"/>
      <c r="C14" s="207" t="s">
        <v>17</v>
      </c>
      <c r="D14" s="673"/>
      <c r="E14" s="281">
        <f>SUM(F14:J14)-F14</f>
        <v>7504000</v>
      </c>
      <c r="F14" s="119">
        <f>F17+F20</f>
        <v>3752000</v>
      </c>
      <c r="G14" s="119">
        <f>G17+G20</f>
        <v>3752000</v>
      </c>
      <c r="H14" s="123">
        <f t="shared" si="1"/>
        <v>3752000</v>
      </c>
      <c r="I14" s="123">
        <f t="shared" si="1"/>
        <v>0</v>
      </c>
      <c r="J14" s="125">
        <f t="shared" si="1"/>
        <v>0</v>
      </c>
      <c r="K14" s="126"/>
      <c r="L14" s="627"/>
      <c r="M14" s="1"/>
    </row>
    <row r="15" spans="1:13" ht="13.5" customHeight="1" thickBot="1">
      <c r="A15" s="711"/>
      <c r="B15" s="731" t="s">
        <v>18</v>
      </c>
      <c r="C15" s="209" t="s">
        <v>14</v>
      </c>
      <c r="D15" s="732">
        <v>3752000</v>
      </c>
      <c r="E15" s="282">
        <f t="shared" si="0"/>
        <v>0</v>
      </c>
      <c r="F15" s="127">
        <v>0</v>
      </c>
      <c r="G15" s="127">
        <v>0</v>
      </c>
      <c r="H15" s="127">
        <v>0</v>
      </c>
      <c r="I15" s="127">
        <v>0</v>
      </c>
      <c r="J15" s="129">
        <v>0</v>
      </c>
      <c r="K15" s="130"/>
      <c r="L15" s="627"/>
      <c r="M15" s="1"/>
    </row>
    <row r="16" spans="1:13" ht="13.5" thickBot="1">
      <c r="A16" s="711"/>
      <c r="B16" s="731"/>
      <c r="C16" s="210" t="s">
        <v>16</v>
      </c>
      <c r="D16" s="732"/>
      <c r="E16" s="283">
        <f t="shared" si="0"/>
        <v>0</v>
      </c>
      <c r="F16" s="131">
        <v>0</v>
      </c>
      <c r="G16" s="131">
        <v>0</v>
      </c>
      <c r="H16" s="131">
        <v>0</v>
      </c>
      <c r="I16" s="131">
        <v>0</v>
      </c>
      <c r="J16" s="132">
        <v>0</v>
      </c>
      <c r="K16" s="133"/>
      <c r="L16" s="627"/>
      <c r="M16" s="1"/>
    </row>
    <row r="17" spans="1:13" ht="13.5" thickBot="1">
      <c r="A17" s="711"/>
      <c r="B17" s="731"/>
      <c r="C17" s="210" t="s">
        <v>17</v>
      </c>
      <c r="D17" s="732"/>
      <c r="E17" s="284">
        <f>SUM(F17:J17)-F17</f>
        <v>7504000</v>
      </c>
      <c r="F17" s="114">
        <v>3752000</v>
      </c>
      <c r="G17" s="114">
        <v>3752000</v>
      </c>
      <c r="H17" s="135">
        <v>3752000</v>
      </c>
      <c r="I17" s="135">
        <v>0</v>
      </c>
      <c r="J17" s="136">
        <v>0</v>
      </c>
      <c r="K17" s="137"/>
      <c r="L17" s="627"/>
      <c r="M17" s="1"/>
    </row>
    <row r="18" spans="1:13" ht="13.5" thickBot="1">
      <c r="A18" s="711"/>
      <c r="B18" s="731" t="s">
        <v>19</v>
      </c>
      <c r="C18" s="209" t="s">
        <v>14</v>
      </c>
      <c r="D18" s="732">
        <v>152722400</v>
      </c>
      <c r="E18" s="282">
        <f t="shared" si="0"/>
        <v>0</v>
      </c>
      <c r="F18" s="128">
        <v>0</v>
      </c>
      <c r="G18" s="128">
        <v>0</v>
      </c>
      <c r="H18" s="138"/>
      <c r="I18" s="127">
        <v>0</v>
      </c>
      <c r="J18" s="139">
        <v>0</v>
      </c>
      <c r="K18" s="667" t="s">
        <v>129</v>
      </c>
      <c r="L18" s="627"/>
      <c r="M18" s="1"/>
    </row>
    <row r="19" spans="1:13" ht="13.5" thickBot="1">
      <c r="A19" s="711"/>
      <c r="B19" s="731"/>
      <c r="C19" s="210" t="s">
        <v>16</v>
      </c>
      <c r="D19" s="732"/>
      <c r="E19" s="283">
        <f t="shared" si="0"/>
        <v>0</v>
      </c>
      <c r="F19" s="131">
        <v>0</v>
      </c>
      <c r="G19" s="131">
        <v>0</v>
      </c>
      <c r="H19" s="131">
        <v>0</v>
      </c>
      <c r="I19" s="131">
        <v>0</v>
      </c>
      <c r="J19" s="132">
        <v>0</v>
      </c>
      <c r="K19" s="733"/>
      <c r="L19" s="627"/>
      <c r="M19" s="1"/>
    </row>
    <row r="20" spans="1:14" ht="35.25" customHeight="1" thickBot="1">
      <c r="A20" s="711"/>
      <c r="B20" s="731"/>
      <c r="C20" s="210" t="s">
        <v>17</v>
      </c>
      <c r="D20" s="732"/>
      <c r="E20" s="284">
        <f t="shared" si="0"/>
        <v>0</v>
      </c>
      <c r="F20" s="134">
        <v>0</v>
      </c>
      <c r="G20" s="134">
        <v>0</v>
      </c>
      <c r="H20" s="134">
        <v>0</v>
      </c>
      <c r="I20" s="134">
        <v>0</v>
      </c>
      <c r="J20" s="136">
        <v>0</v>
      </c>
      <c r="K20" s="734"/>
      <c r="L20" s="627"/>
      <c r="M20" s="1"/>
      <c r="N20" s="261"/>
    </row>
    <row r="21" spans="1:13" ht="13.5" customHeight="1" thickBot="1">
      <c r="A21" s="669">
        <v>2</v>
      </c>
      <c r="B21" s="680" t="s">
        <v>110</v>
      </c>
      <c r="C21" s="203" t="s">
        <v>14</v>
      </c>
      <c r="D21" s="673">
        <f>D24+D27</f>
        <v>150629419.35</v>
      </c>
      <c r="E21" s="279">
        <f t="shared" si="0"/>
        <v>2629419.35</v>
      </c>
      <c r="F21" s="115">
        <f>F24+F27</f>
        <v>0</v>
      </c>
      <c r="G21" s="115">
        <f>G24+G27</f>
        <v>0</v>
      </c>
      <c r="H21" s="115">
        <f>H24+H27</f>
        <v>2629419.35</v>
      </c>
      <c r="I21" s="115">
        <f>I24+I27</f>
        <v>0</v>
      </c>
      <c r="J21" s="117">
        <f>J24+J27</f>
        <v>0</v>
      </c>
      <c r="K21" s="118"/>
      <c r="L21" s="627"/>
      <c r="M21" s="1"/>
    </row>
    <row r="22" spans="1:13" ht="13.5" customHeight="1" thickBot="1">
      <c r="A22" s="669"/>
      <c r="B22" s="680"/>
      <c r="C22" s="205" t="s">
        <v>16</v>
      </c>
      <c r="D22" s="673"/>
      <c r="E22" s="280">
        <f t="shared" si="0"/>
        <v>0</v>
      </c>
      <c r="F22" s="119">
        <v>0</v>
      </c>
      <c r="G22" s="119">
        <f aca="true" t="shared" si="2" ref="G22:J23">G25+G28</f>
        <v>0</v>
      </c>
      <c r="H22" s="119">
        <f t="shared" si="2"/>
        <v>0</v>
      </c>
      <c r="I22" s="119">
        <f t="shared" si="2"/>
        <v>0</v>
      </c>
      <c r="J22" s="121">
        <f t="shared" si="2"/>
        <v>0</v>
      </c>
      <c r="K22" s="122"/>
      <c r="L22" s="627"/>
      <c r="M22" s="1"/>
    </row>
    <row r="23" spans="1:13" ht="15.75" customHeight="1" thickBot="1">
      <c r="A23" s="669"/>
      <c r="B23" s="680"/>
      <c r="C23" s="207" t="s">
        <v>17</v>
      </c>
      <c r="D23" s="673"/>
      <c r="E23" s="281">
        <f t="shared" si="0"/>
        <v>0</v>
      </c>
      <c r="F23" s="119">
        <f>F26+F29</f>
        <v>0</v>
      </c>
      <c r="G23" s="119">
        <f t="shared" si="2"/>
        <v>0</v>
      </c>
      <c r="H23" s="123">
        <f t="shared" si="2"/>
        <v>0</v>
      </c>
      <c r="I23" s="123">
        <f t="shared" si="2"/>
        <v>0</v>
      </c>
      <c r="J23" s="125">
        <f t="shared" si="2"/>
        <v>0</v>
      </c>
      <c r="K23" s="126"/>
      <c r="L23" s="627"/>
      <c r="M23" s="1"/>
    </row>
    <row r="24" spans="1:13" ht="13.5" thickBot="1">
      <c r="A24" s="711"/>
      <c r="B24" s="731" t="s">
        <v>91</v>
      </c>
      <c r="C24" s="209" t="s">
        <v>14</v>
      </c>
      <c r="D24" s="732">
        <f>E24+E25+E26</f>
        <v>2629419.35</v>
      </c>
      <c r="E24" s="282">
        <f t="shared" si="0"/>
        <v>2629419.35</v>
      </c>
      <c r="F24" s="128">
        <v>0</v>
      </c>
      <c r="G24" s="128">
        <v>0</v>
      </c>
      <c r="H24" s="138">
        <f>2953800-324105.26-275.39</f>
        <v>2629419.35</v>
      </c>
      <c r="I24" s="127">
        <v>0</v>
      </c>
      <c r="J24" s="139">
        <v>0</v>
      </c>
      <c r="K24" s="140"/>
      <c r="L24" s="627"/>
      <c r="M24" s="1"/>
    </row>
    <row r="25" spans="1:13" ht="13.5" thickBot="1">
      <c r="A25" s="711"/>
      <c r="B25" s="731"/>
      <c r="C25" s="210" t="s">
        <v>16</v>
      </c>
      <c r="D25" s="732"/>
      <c r="E25" s="283">
        <f t="shared" si="0"/>
        <v>0</v>
      </c>
      <c r="F25" s="131">
        <v>0</v>
      </c>
      <c r="G25" s="131">
        <v>0</v>
      </c>
      <c r="H25" s="131">
        <v>0</v>
      </c>
      <c r="I25" s="131">
        <v>0</v>
      </c>
      <c r="J25" s="132">
        <v>0</v>
      </c>
      <c r="K25" s="133"/>
      <c r="L25" s="627"/>
      <c r="M25" s="1"/>
    </row>
    <row r="26" spans="1:13" ht="13.5" customHeight="1" thickBot="1">
      <c r="A26" s="711"/>
      <c r="B26" s="731"/>
      <c r="C26" s="210" t="s">
        <v>17</v>
      </c>
      <c r="D26" s="732"/>
      <c r="E26" s="284">
        <f t="shared" si="0"/>
        <v>0</v>
      </c>
      <c r="F26" s="134">
        <v>0</v>
      </c>
      <c r="G26" s="134">
        <v>0</v>
      </c>
      <c r="H26" s="134">
        <v>0</v>
      </c>
      <c r="I26" s="134">
        <v>0</v>
      </c>
      <c r="J26" s="136">
        <v>0</v>
      </c>
      <c r="K26" s="137"/>
      <c r="L26" s="627"/>
      <c r="M26" s="1"/>
    </row>
    <row r="27" spans="1:13" ht="13.5" thickBot="1">
      <c r="A27" s="711"/>
      <c r="B27" s="725" t="s">
        <v>92</v>
      </c>
      <c r="C27" s="209" t="s">
        <v>14</v>
      </c>
      <c r="D27" s="732">
        <v>148000000</v>
      </c>
      <c r="E27" s="282">
        <f t="shared" si="0"/>
        <v>0</v>
      </c>
      <c r="F27" s="128">
        <v>0</v>
      </c>
      <c r="G27" s="128">
        <v>0</v>
      </c>
      <c r="H27" s="128">
        <v>0</v>
      </c>
      <c r="I27" s="127">
        <v>0</v>
      </c>
      <c r="J27" s="139">
        <v>0</v>
      </c>
      <c r="K27" s="667" t="s">
        <v>129</v>
      </c>
      <c r="L27" s="627"/>
      <c r="M27" s="1"/>
    </row>
    <row r="28" spans="1:13" ht="13.5" thickBot="1">
      <c r="A28" s="711"/>
      <c r="B28" s="726"/>
      <c r="C28" s="210" t="s">
        <v>16</v>
      </c>
      <c r="D28" s="732"/>
      <c r="E28" s="283">
        <f t="shared" si="0"/>
        <v>0</v>
      </c>
      <c r="F28" s="131">
        <v>0</v>
      </c>
      <c r="G28" s="131">
        <v>0</v>
      </c>
      <c r="H28" s="131">
        <v>0</v>
      </c>
      <c r="I28" s="141">
        <v>0</v>
      </c>
      <c r="J28" s="132">
        <v>0</v>
      </c>
      <c r="K28" s="733"/>
      <c r="L28" s="627"/>
      <c r="M28" s="1"/>
    </row>
    <row r="29" spans="1:13" ht="32.25" customHeight="1" thickBot="1">
      <c r="A29" s="711"/>
      <c r="B29" s="727"/>
      <c r="C29" s="210" t="s">
        <v>17</v>
      </c>
      <c r="D29" s="732"/>
      <c r="E29" s="284">
        <f t="shared" si="0"/>
        <v>0</v>
      </c>
      <c r="F29" s="134">
        <v>0</v>
      </c>
      <c r="G29" s="134">
        <v>0</v>
      </c>
      <c r="H29" s="134">
        <v>0</v>
      </c>
      <c r="I29" s="134">
        <v>0</v>
      </c>
      <c r="J29" s="136">
        <v>0</v>
      </c>
      <c r="K29" s="734"/>
      <c r="L29" s="627"/>
      <c r="M29" s="1"/>
    </row>
    <row r="30" spans="1:13" s="10" customFormat="1" ht="12.75" customHeight="1" thickBot="1">
      <c r="A30" s="669">
        <v>3</v>
      </c>
      <c r="B30" s="680" t="s">
        <v>21</v>
      </c>
      <c r="C30" s="203" t="s">
        <v>14</v>
      </c>
      <c r="D30" s="681">
        <f>E30+E31+E32</f>
        <v>49768975.98</v>
      </c>
      <c r="E30" s="279">
        <f t="shared" si="0"/>
        <v>0</v>
      </c>
      <c r="F30" s="115">
        <v>0</v>
      </c>
      <c r="G30" s="115">
        <v>0</v>
      </c>
      <c r="H30" s="115">
        <v>0</v>
      </c>
      <c r="I30" s="115">
        <v>0</v>
      </c>
      <c r="J30" s="117">
        <v>0</v>
      </c>
      <c r="K30" s="118"/>
      <c r="L30" s="627"/>
      <c r="M30" s="9"/>
    </row>
    <row r="31" spans="1:13" s="10" customFormat="1" ht="12.75" customHeight="1" thickBot="1">
      <c r="A31" s="669"/>
      <c r="B31" s="680"/>
      <c r="C31" s="205" t="s">
        <v>16</v>
      </c>
      <c r="D31" s="681"/>
      <c r="E31" s="285">
        <f t="shared" si="0"/>
        <v>0</v>
      </c>
      <c r="F31" s="119">
        <v>0</v>
      </c>
      <c r="G31" s="119">
        <v>0</v>
      </c>
      <c r="H31" s="119">
        <v>0</v>
      </c>
      <c r="I31" s="119">
        <v>0</v>
      </c>
      <c r="J31" s="121">
        <v>0</v>
      </c>
      <c r="K31" s="122"/>
      <c r="L31" s="627"/>
      <c r="M31" s="9"/>
    </row>
    <row r="32" spans="1:13" s="10" customFormat="1" ht="13.5" customHeight="1" thickBot="1">
      <c r="A32" s="669"/>
      <c r="B32" s="680"/>
      <c r="C32" s="207" t="s">
        <v>17</v>
      </c>
      <c r="D32" s="681"/>
      <c r="E32" s="281">
        <f t="shared" si="0"/>
        <v>49768975.98</v>
      </c>
      <c r="F32" s="123">
        <v>0</v>
      </c>
      <c r="G32" s="123">
        <v>49768975.98</v>
      </c>
      <c r="H32" s="123">
        <v>0</v>
      </c>
      <c r="I32" s="123">
        <v>0</v>
      </c>
      <c r="J32" s="125">
        <v>0</v>
      </c>
      <c r="K32" s="126"/>
      <c r="L32" s="627"/>
      <c r="M32" s="9"/>
    </row>
    <row r="33" spans="1:13" s="10" customFormat="1" ht="13.5" customHeight="1" thickBot="1">
      <c r="A33" s="669">
        <v>4</v>
      </c>
      <c r="B33" s="680" t="s">
        <v>84</v>
      </c>
      <c r="C33" s="203" t="s">
        <v>14</v>
      </c>
      <c r="D33" s="681">
        <f>G33</f>
        <v>1756768.66</v>
      </c>
      <c r="E33" s="279">
        <f t="shared" si="0"/>
        <v>1756768.66</v>
      </c>
      <c r="F33" s="115">
        <v>0</v>
      </c>
      <c r="G33" s="119">
        <v>1756768.66</v>
      </c>
      <c r="H33" s="115">
        <v>0</v>
      </c>
      <c r="I33" s="115">
        <v>0</v>
      </c>
      <c r="J33" s="117">
        <v>0</v>
      </c>
      <c r="K33" s="118"/>
      <c r="L33" s="627"/>
      <c r="M33" s="9"/>
    </row>
    <row r="34" spans="1:13" s="10" customFormat="1" ht="13.5" thickBot="1">
      <c r="A34" s="669"/>
      <c r="B34" s="680"/>
      <c r="C34" s="205" t="s">
        <v>16</v>
      </c>
      <c r="D34" s="681"/>
      <c r="E34" s="280">
        <f t="shared" si="0"/>
        <v>0</v>
      </c>
      <c r="F34" s="119">
        <f>SUM(G34:L34)</f>
        <v>0</v>
      </c>
      <c r="G34" s="119">
        <v>0</v>
      </c>
      <c r="H34" s="119">
        <v>0</v>
      </c>
      <c r="I34" s="119">
        <v>0</v>
      </c>
      <c r="J34" s="121">
        <v>0</v>
      </c>
      <c r="K34" s="122"/>
      <c r="L34" s="627"/>
      <c r="M34" s="9"/>
    </row>
    <row r="35" spans="1:13" s="10" customFormat="1" ht="13.5" thickBot="1">
      <c r="A35" s="669"/>
      <c r="B35" s="680"/>
      <c r="C35" s="207" t="s">
        <v>17</v>
      </c>
      <c r="D35" s="681"/>
      <c r="E35" s="281">
        <f t="shared" si="0"/>
        <v>0</v>
      </c>
      <c r="F35" s="123">
        <v>0</v>
      </c>
      <c r="G35" s="123">
        <v>0</v>
      </c>
      <c r="H35" s="123">
        <v>0</v>
      </c>
      <c r="I35" s="123">
        <v>0</v>
      </c>
      <c r="J35" s="125">
        <v>0</v>
      </c>
      <c r="K35" s="126"/>
      <c r="L35" s="627"/>
      <c r="M35" s="264">
        <f>I24-I39</f>
        <v>-289026.02</v>
      </c>
    </row>
    <row r="36" spans="1:13" s="10" customFormat="1" ht="13.5" customHeight="1" thickBot="1">
      <c r="A36" s="669">
        <v>5</v>
      </c>
      <c r="B36" s="680" t="s">
        <v>22</v>
      </c>
      <c r="C36" s="203" t="s">
        <v>14</v>
      </c>
      <c r="D36" s="681">
        <f>E36+E37+E38</f>
        <v>882612.18</v>
      </c>
      <c r="E36" s="279">
        <f aca="true" t="shared" si="3" ref="E36:E41">SUM(F36:J36)</f>
        <v>302358.91000000003</v>
      </c>
      <c r="F36" s="115">
        <f aca="true" t="shared" si="4" ref="F36:J38">F39+F42</f>
        <v>0</v>
      </c>
      <c r="G36" s="115">
        <f>G39+G42+G45</f>
        <v>0</v>
      </c>
      <c r="H36" s="115">
        <f>H39+H42+H45</f>
        <v>13332.89</v>
      </c>
      <c r="I36" s="115">
        <f>I39+I42+I45</f>
        <v>289026.02</v>
      </c>
      <c r="J36" s="117">
        <f>J39+J42+J45</f>
        <v>0</v>
      </c>
      <c r="K36" s="118"/>
      <c r="L36" s="627"/>
      <c r="M36" s="9"/>
    </row>
    <row r="37" spans="1:13" s="10" customFormat="1" ht="13.5" thickBot="1">
      <c r="A37" s="669"/>
      <c r="B37" s="680"/>
      <c r="C37" s="205" t="s">
        <v>16</v>
      </c>
      <c r="D37" s="681"/>
      <c r="E37" s="280">
        <f t="shared" si="3"/>
        <v>580253.27</v>
      </c>
      <c r="F37" s="119">
        <f t="shared" si="4"/>
        <v>0</v>
      </c>
      <c r="G37" s="119">
        <f t="shared" si="4"/>
        <v>318168.96</v>
      </c>
      <c r="H37" s="119">
        <f>H40+H43+H46</f>
        <v>262084.31</v>
      </c>
      <c r="I37" s="119">
        <f t="shared" si="4"/>
        <v>0</v>
      </c>
      <c r="J37" s="121">
        <f t="shared" si="4"/>
        <v>0</v>
      </c>
      <c r="K37" s="122"/>
      <c r="L37" s="627"/>
      <c r="M37" s="9"/>
    </row>
    <row r="38" spans="1:14" s="10" customFormat="1" ht="13.5" thickBot="1">
      <c r="A38" s="669"/>
      <c r="B38" s="680"/>
      <c r="C38" s="207" t="s">
        <v>17</v>
      </c>
      <c r="D38" s="681"/>
      <c r="E38" s="281">
        <f t="shared" si="3"/>
        <v>0</v>
      </c>
      <c r="F38" s="123">
        <f t="shared" si="4"/>
        <v>0</v>
      </c>
      <c r="G38" s="123">
        <f t="shared" si="4"/>
        <v>0</v>
      </c>
      <c r="H38" s="123">
        <v>0</v>
      </c>
      <c r="I38" s="123">
        <f t="shared" si="4"/>
        <v>0</v>
      </c>
      <c r="J38" s="125">
        <f t="shared" si="4"/>
        <v>0</v>
      </c>
      <c r="K38" s="126"/>
      <c r="L38" s="627"/>
      <c r="M38" s="9"/>
      <c r="N38" s="278"/>
    </row>
    <row r="39" spans="1:14" s="10" customFormat="1" ht="13.5" customHeight="1" thickBot="1">
      <c r="A39" s="677"/>
      <c r="B39" s="678" t="s">
        <v>113</v>
      </c>
      <c r="C39" s="212" t="s">
        <v>14</v>
      </c>
      <c r="D39" s="738">
        <f>H39+H40</f>
        <v>0</v>
      </c>
      <c r="E39" s="286">
        <f t="shared" si="3"/>
        <v>289026.02</v>
      </c>
      <c r="F39" s="142">
        <v>0</v>
      </c>
      <c r="G39" s="142">
        <v>0</v>
      </c>
      <c r="H39" s="142">
        <v>0</v>
      </c>
      <c r="I39" s="142">
        <v>289026.02</v>
      </c>
      <c r="J39" s="143">
        <v>0</v>
      </c>
      <c r="K39" s="744"/>
      <c r="L39" s="627"/>
      <c r="M39" s="264"/>
      <c r="N39" s="278"/>
    </row>
    <row r="40" spans="1:13" s="10" customFormat="1" ht="13.5" thickBot="1">
      <c r="A40" s="677"/>
      <c r="B40" s="678"/>
      <c r="C40" s="213" t="s">
        <v>16</v>
      </c>
      <c r="D40" s="738"/>
      <c r="E40" s="287">
        <f t="shared" si="3"/>
        <v>0</v>
      </c>
      <c r="F40" s="145">
        <v>0</v>
      </c>
      <c r="G40" s="145">
        <v>0</v>
      </c>
      <c r="H40" s="145">
        <v>0</v>
      </c>
      <c r="I40" s="145">
        <v>0</v>
      </c>
      <c r="J40" s="146">
        <v>0</v>
      </c>
      <c r="K40" s="745"/>
      <c r="L40" s="627"/>
      <c r="M40" s="9"/>
    </row>
    <row r="41" spans="1:14" s="10" customFormat="1" ht="13.5" thickBot="1">
      <c r="A41" s="677"/>
      <c r="B41" s="678"/>
      <c r="C41" s="214" t="s">
        <v>17</v>
      </c>
      <c r="D41" s="738"/>
      <c r="E41" s="288">
        <f t="shared" si="3"/>
        <v>0</v>
      </c>
      <c r="F41" s="148">
        <v>0</v>
      </c>
      <c r="G41" s="148">
        <v>0</v>
      </c>
      <c r="H41" s="148">
        <v>0</v>
      </c>
      <c r="I41" s="148">
        <v>0</v>
      </c>
      <c r="J41" s="149">
        <v>0</v>
      </c>
      <c r="K41" s="746"/>
      <c r="L41" s="627"/>
      <c r="M41" s="327"/>
      <c r="N41" s="328"/>
    </row>
    <row r="42" spans="1:14" s="10" customFormat="1" ht="13.5" customHeight="1" thickBot="1">
      <c r="A42" s="677"/>
      <c r="B42" s="678" t="s">
        <v>112</v>
      </c>
      <c r="C42" s="212" t="s">
        <v>14</v>
      </c>
      <c r="D42" s="738">
        <f>E42+E43+E44</f>
        <v>318168.96</v>
      </c>
      <c r="E42" s="286">
        <f t="shared" si="0"/>
        <v>0</v>
      </c>
      <c r="F42" s="142">
        <v>0</v>
      </c>
      <c r="G42" s="142">
        <v>0</v>
      </c>
      <c r="H42" s="142">
        <v>0</v>
      </c>
      <c r="I42" s="142">
        <v>0</v>
      </c>
      <c r="J42" s="143">
        <v>0</v>
      </c>
      <c r="K42" s="144"/>
      <c r="L42" s="627"/>
      <c r="M42" s="327"/>
      <c r="N42" s="329"/>
    </row>
    <row r="43" spans="1:14" s="10" customFormat="1" ht="13.5" thickBot="1">
      <c r="A43" s="677"/>
      <c r="B43" s="678"/>
      <c r="C43" s="213" t="s">
        <v>16</v>
      </c>
      <c r="D43" s="738"/>
      <c r="E43" s="287">
        <f t="shared" si="0"/>
        <v>318168.96</v>
      </c>
      <c r="F43" s="145">
        <v>0</v>
      </c>
      <c r="G43" s="145">
        <f>379349.96-G88</f>
        <v>318168.96</v>
      </c>
      <c r="H43" s="145">
        <v>0</v>
      </c>
      <c r="I43" s="145">
        <v>0</v>
      </c>
      <c r="J43" s="146">
        <v>0</v>
      </c>
      <c r="K43" s="147"/>
      <c r="L43" s="627"/>
      <c r="M43" s="330"/>
      <c r="N43" s="329"/>
    </row>
    <row r="44" spans="1:14" s="10" customFormat="1" ht="13.5" thickBot="1">
      <c r="A44" s="677"/>
      <c r="B44" s="678"/>
      <c r="C44" s="214" t="s">
        <v>17</v>
      </c>
      <c r="D44" s="738"/>
      <c r="E44" s="288">
        <f t="shared" si="0"/>
        <v>0</v>
      </c>
      <c r="F44" s="148">
        <v>0</v>
      </c>
      <c r="G44" s="148">
        <v>0</v>
      </c>
      <c r="H44" s="148">
        <v>0</v>
      </c>
      <c r="I44" s="148">
        <v>0</v>
      </c>
      <c r="J44" s="149">
        <v>0</v>
      </c>
      <c r="K44" s="150"/>
      <c r="L44" s="627"/>
      <c r="M44" s="327"/>
      <c r="N44" s="329"/>
    </row>
    <row r="45" spans="1:16" s="10" customFormat="1" ht="13.5" thickBot="1">
      <c r="A45" s="677"/>
      <c r="B45" s="678" t="s">
        <v>116</v>
      </c>
      <c r="C45" s="212" t="s">
        <v>14</v>
      </c>
      <c r="D45" s="738">
        <f>H45+H46</f>
        <v>275417.2</v>
      </c>
      <c r="E45" s="286">
        <f>SUM(F45:J45)</f>
        <v>13332.89</v>
      </c>
      <c r="F45" s="142">
        <v>0</v>
      </c>
      <c r="G45" s="142">
        <v>0</v>
      </c>
      <c r="H45" s="142">
        <f>ROUND((251913.2+14736.42)*5/100,2)+0.41</f>
        <v>13332.89</v>
      </c>
      <c r="I45" s="142">
        <v>0</v>
      </c>
      <c r="J45" s="143">
        <v>0</v>
      </c>
      <c r="K45" s="144"/>
      <c r="L45" s="627"/>
      <c r="M45" s="330">
        <f>H45+H111</f>
        <v>28802.39</v>
      </c>
      <c r="N45" s="329">
        <v>542005.12</v>
      </c>
      <c r="O45" s="10">
        <v>13999.6</v>
      </c>
      <c r="P45" s="10">
        <f>N45+O45</f>
        <v>556004.72</v>
      </c>
    </row>
    <row r="46" spans="1:15" s="10" customFormat="1" ht="13.5" thickBot="1">
      <c r="A46" s="677"/>
      <c r="B46" s="678"/>
      <c r="C46" s="213" t="s">
        <v>16</v>
      </c>
      <c r="D46" s="738"/>
      <c r="E46" s="287">
        <f>SUM(F46:J46)</f>
        <v>262084.31</v>
      </c>
      <c r="F46" s="145">
        <v>0</v>
      </c>
      <c r="G46" s="145">
        <v>0</v>
      </c>
      <c r="H46" s="145">
        <f>ROUND((251913.2+14736.44+9228.58)*95/100,2)</f>
        <v>262084.31</v>
      </c>
      <c r="I46" s="145">
        <v>0</v>
      </c>
      <c r="J46" s="146">
        <v>0</v>
      </c>
      <c r="K46" s="147"/>
      <c r="L46" s="627"/>
      <c r="M46" s="330">
        <f>H46+H112</f>
        <v>556004.72</v>
      </c>
      <c r="N46" s="329">
        <f>P45-M46</f>
        <v>0</v>
      </c>
      <c r="O46" s="10">
        <f>N46*100/95</f>
        <v>0</v>
      </c>
    </row>
    <row r="47" spans="1:13" s="10" customFormat="1" ht="12.75" customHeight="1" thickBot="1">
      <c r="A47" s="677"/>
      <c r="B47" s="678"/>
      <c r="C47" s="214" t="s">
        <v>17</v>
      </c>
      <c r="D47" s="738"/>
      <c r="E47" s="288">
        <f>SUM(F47:J47)</f>
        <v>0</v>
      </c>
      <c r="F47" s="148">
        <v>0</v>
      </c>
      <c r="G47" s="148">
        <v>0</v>
      </c>
      <c r="H47" s="148">
        <v>0</v>
      </c>
      <c r="I47" s="148">
        <v>0</v>
      </c>
      <c r="J47" s="149">
        <v>0</v>
      </c>
      <c r="K47" s="150"/>
      <c r="L47" s="627"/>
      <c r="M47" s="9"/>
    </row>
    <row r="48" spans="1:13" s="10" customFormat="1" ht="12.75" customHeight="1" hidden="1" thickBot="1">
      <c r="A48" s="669">
        <v>6</v>
      </c>
      <c r="B48" s="680" t="s">
        <v>86</v>
      </c>
      <c r="C48" s="203" t="s">
        <v>14</v>
      </c>
      <c r="D48" s="681">
        <f>E48+E49+E50</f>
        <v>0</v>
      </c>
      <c r="E48" s="279">
        <f t="shared" si="0"/>
        <v>0</v>
      </c>
      <c r="F48" s="116">
        <v>0</v>
      </c>
      <c r="G48" s="115">
        <v>0</v>
      </c>
      <c r="H48" s="115">
        <v>0</v>
      </c>
      <c r="I48" s="115">
        <v>0</v>
      </c>
      <c r="J48" s="117">
        <v>0</v>
      </c>
      <c r="K48" s="118"/>
      <c r="L48" s="627"/>
      <c r="M48" s="9"/>
    </row>
    <row r="49" spans="1:13" s="10" customFormat="1" ht="12" customHeight="1" hidden="1" thickBot="1">
      <c r="A49" s="669"/>
      <c r="B49" s="680"/>
      <c r="C49" s="205" t="s">
        <v>16</v>
      </c>
      <c r="D49" s="681"/>
      <c r="E49" s="280">
        <f t="shared" si="0"/>
        <v>0</v>
      </c>
      <c r="F49" s="120">
        <v>0</v>
      </c>
      <c r="G49" s="119">
        <v>0</v>
      </c>
      <c r="H49" s="119">
        <v>0</v>
      </c>
      <c r="I49" s="119">
        <v>0</v>
      </c>
      <c r="J49" s="121">
        <v>0</v>
      </c>
      <c r="K49" s="122"/>
      <c r="L49" s="627"/>
      <c r="M49" s="9"/>
    </row>
    <row r="50" spans="1:13" s="10" customFormat="1" ht="12.75" customHeight="1" hidden="1" thickBot="1">
      <c r="A50" s="669"/>
      <c r="B50" s="680"/>
      <c r="C50" s="207" t="s">
        <v>17</v>
      </c>
      <c r="D50" s="681"/>
      <c r="E50" s="281">
        <f t="shared" si="0"/>
        <v>0</v>
      </c>
      <c r="F50" s="236">
        <v>0</v>
      </c>
      <c r="G50" s="236"/>
      <c r="H50" s="123">
        <v>0</v>
      </c>
      <c r="I50" s="123">
        <v>0</v>
      </c>
      <c r="J50" s="125">
        <v>0</v>
      </c>
      <c r="K50" s="126"/>
      <c r="L50" s="627"/>
      <c r="M50" s="9"/>
    </row>
    <row r="51" spans="1:14" ht="12.75" customHeight="1" thickBot="1">
      <c r="A51" s="669" t="s">
        <v>158</v>
      </c>
      <c r="B51" s="680" t="s">
        <v>82</v>
      </c>
      <c r="C51" s="203" t="s">
        <v>25</v>
      </c>
      <c r="D51" s="151"/>
      <c r="E51" s="289">
        <f aca="true" t="shared" si="5" ref="E51:E65">SUM(F51:J51)</f>
        <v>2342501.01</v>
      </c>
      <c r="F51" s="256">
        <f>2342501.01</f>
        <v>2342501.01</v>
      </c>
      <c r="G51" s="256">
        <v>0</v>
      </c>
      <c r="H51" s="267">
        <v>0</v>
      </c>
      <c r="I51" s="115">
        <v>0</v>
      </c>
      <c r="J51" s="117">
        <v>0</v>
      </c>
      <c r="K51" s="118"/>
      <c r="L51" s="627"/>
      <c r="M51" s="9"/>
      <c r="N51" s="1"/>
    </row>
    <row r="52" spans="1:14" ht="15.75" customHeight="1" thickBot="1">
      <c r="A52" s="669"/>
      <c r="B52" s="680"/>
      <c r="C52" s="205" t="s">
        <v>16</v>
      </c>
      <c r="D52" s="152">
        <f>E51+E52+E53</f>
        <v>2342501.01</v>
      </c>
      <c r="E52" s="290">
        <f t="shared" si="5"/>
        <v>0</v>
      </c>
      <c r="F52" s="270">
        <v>0</v>
      </c>
      <c r="G52" s="258">
        <v>0</v>
      </c>
      <c r="H52" s="268">
        <v>0</v>
      </c>
      <c r="I52" s="119">
        <v>0</v>
      </c>
      <c r="J52" s="121">
        <v>0</v>
      </c>
      <c r="K52" s="122"/>
      <c r="L52" s="627"/>
      <c r="M52" s="44"/>
      <c r="N52" s="1"/>
    </row>
    <row r="53" spans="1:14" ht="13.5" thickBot="1">
      <c r="A53" s="669"/>
      <c r="B53" s="680"/>
      <c r="C53" s="239" t="s">
        <v>17</v>
      </c>
      <c r="D53" s="235"/>
      <c r="E53" s="291">
        <f t="shared" si="5"/>
        <v>0</v>
      </c>
      <c r="F53" s="271">
        <v>0</v>
      </c>
      <c r="G53" s="260">
        <v>0</v>
      </c>
      <c r="H53" s="269">
        <v>0</v>
      </c>
      <c r="I53" s="240">
        <v>0</v>
      </c>
      <c r="J53" s="247">
        <v>0</v>
      </c>
      <c r="K53" s="126"/>
      <c r="L53" s="627"/>
      <c r="M53" s="44"/>
      <c r="N53" s="1"/>
    </row>
    <row r="54" spans="1:13" s="56" customFormat="1" ht="13.5" customHeight="1" thickBot="1">
      <c r="A54" s="669" t="s">
        <v>159</v>
      </c>
      <c r="B54" s="679" t="s">
        <v>83</v>
      </c>
      <c r="C54" s="244" t="s">
        <v>25</v>
      </c>
      <c r="D54" s="739">
        <f>E54+E55+E56</f>
        <v>4311271.74</v>
      </c>
      <c r="E54" s="292">
        <f t="shared" si="5"/>
        <v>4311271.74</v>
      </c>
      <c r="F54" s="256">
        <f>4141866.08+169405.66</f>
        <v>4311271.74</v>
      </c>
      <c r="G54" s="248">
        <v>0</v>
      </c>
      <c r="H54" s="248">
        <v>0</v>
      </c>
      <c r="I54" s="248">
        <v>0</v>
      </c>
      <c r="J54" s="250">
        <v>0</v>
      </c>
      <c r="K54" s="153"/>
      <c r="L54" s="627"/>
      <c r="M54" s="55"/>
    </row>
    <row r="55" spans="1:13" s="56" customFormat="1" ht="13.5" thickBot="1">
      <c r="A55" s="669"/>
      <c r="B55" s="679"/>
      <c r="C55" s="245" t="s">
        <v>16</v>
      </c>
      <c r="D55" s="740"/>
      <c r="E55" s="290">
        <f t="shared" si="5"/>
        <v>0</v>
      </c>
      <c r="F55" s="270">
        <v>0</v>
      </c>
      <c r="G55" s="120">
        <v>0</v>
      </c>
      <c r="H55" s="120">
        <v>0</v>
      </c>
      <c r="I55" s="120">
        <v>0</v>
      </c>
      <c r="J55" s="251">
        <v>0</v>
      </c>
      <c r="K55" s="155"/>
      <c r="L55" s="627"/>
      <c r="M55" s="55"/>
    </row>
    <row r="56" spans="1:13" s="56" customFormat="1" ht="13.5" thickBot="1">
      <c r="A56" s="669"/>
      <c r="B56" s="679"/>
      <c r="C56" s="246" t="s">
        <v>17</v>
      </c>
      <c r="D56" s="741"/>
      <c r="E56" s="293">
        <f t="shared" si="5"/>
        <v>0</v>
      </c>
      <c r="F56" s="275">
        <v>0</v>
      </c>
      <c r="G56" s="252">
        <v>0</v>
      </c>
      <c r="H56" s="252">
        <v>0</v>
      </c>
      <c r="I56" s="252">
        <v>0</v>
      </c>
      <c r="J56" s="254">
        <v>0</v>
      </c>
      <c r="K56" s="238"/>
      <c r="L56" s="627"/>
      <c r="M56" s="55"/>
    </row>
    <row r="57" spans="1:13" s="56" customFormat="1" ht="13.5" thickBot="1">
      <c r="A57" s="669" t="s">
        <v>160</v>
      </c>
      <c r="B57" s="679" t="s">
        <v>80</v>
      </c>
      <c r="C57" s="255" t="s">
        <v>14</v>
      </c>
      <c r="D57" s="742">
        <f>E57+E58+E59</f>
        <v>1979233.93</v>
      </c>
      <c r="E57" s="292">
        <f t="shared" si="5"/>
        <v>1979233.93</v>
      </c>
      <c r="F57" s="274">
        <v>0</v>
      </c>
      <c r="G57" s="248">
        <v>1979233.93</v>
      </c>
      <c r="H57" s="249">
        <v>0</v>
      </c>
      <c r="I57" s="249">
        <v>0</v>
      </c>
      <c r="J57" s="256">
        <v>0</v>
      </c>
      <c r="K57" s="122"/>
      <c r="L57" s="627"/>
      <c r="M57" s="265"/>
    </row>
    <row r="58" spans="1:13" s="56" customFormat="1" ht="13.5" thickBot="1">
      <c r="A58" s="669"/>
      <c r="B58" s="679"/>
      <c r="C58" s="257" t="s">
        <v>16</v>
      </c>
      <c r="D58" s="681"/>
      <c r="E58" s="290">
        <f t="shared" si="5"/>
        <v>0</v>
      </c>
      <c r="F58" s="270">
        <v>0</v>
      </c>
      <c r="G58" s="120">
        <v>0</v>
      </c>
      <c r="H58" s="119">
        <v>0</v>
      </c>
      <c r="I58" s="119">
        <v>0</v>
      </c>
      <c r="J58" s="258">
        <v>0</v>
      </c>
      <c r="K58" s="122"/>
      <c r="L58" s="627"/>
      <c r="M58" s="265"/>
    </row>
    <row r="59" spans="1:13" s="56" customFormat="1" ht="13.5" thickBot="1">
      <c r="A59" s="669"/>
      <c r="B59" s="679"/>
      <c r="C59" s="259" t="s">
        <v>17</v>
      </c>
      <c r="D59" s="743"/>
      <c r="E59" s="293">
        <f t="shared" si="5"/>
        <v>0</v>
      </c>
      <c r="F59" s="275">
        <v>0</v>
      </c>
      <c r="G59" s="252">
        <v>0</v>
      </c>
      <c r="H59" s="253">
        <v>0</v>
      </c>
      <c r="I59" s="253">
        <v>0</v>
      </c>
      <c r="J59" s="260">
        <v>0</v>
      </c>
      <c r="K59" s="126"/>
      <c r="L59" s="627"/>
      <c r="M59" s="55"/>
    </row>
    <row r="60" spans="1:13" s="56" customFormat="1" ht="13.5" customHeight="1" thickBot="1">
      <c r="A60" s="669" t="s">
        <v>161</v>
      </c>
      <c r="B60" s="680" t="s">
        <v>77</v>
      </c>
      <c r="C60" s="241" t="s">
        <v>14</v>
      </c>
      <c r="D60" s="689">
        <f>E60+E61+E62</f>
        <v>988741.18</v>
      </c>
      <c r="E60" s="294">
        <f t="shared" si="5"/>
        <v>988741.18</v>
      </c>
      <c r="F60" s="274">
        <v>0</v>
      </c>
      <c r="G60" s="248">
        <v>988741.18</v>
      </c>
      <c r="H60" s="249">
        <v>0</v>
      </c>
      <c r="I60" s="249">
        <v>0</v>
      </c>
      <c r="J60" s="256">
        <v>0</v>
      </c>
      <c r="K60" s="118"/>
      <c r="L60" s="627"/>
      <c r="M60" s="55"/>
    </row>
    <row r="61" spans="1:13" s="56" customFormat="1" ht="13.5" thickBot="1">
      <c r="A61" s="669"/>
      <c r="B61" s="680"/>
      <c r="C61" s="205" t="s">
        <v>16</v>
      </c>
      <c r="D61" s="681"/>
      <c r="E61" s="290">
        <f t="shared" si="5"/>
        <v>0</v>
      </c>
      <c r="F61" s="270">
        <v>0</v>
      </c>
      <c r="G61" s="120">
        <v>0</v>
      </c>
      <c r="H61" s="119">
        <v>0</v>
      </c>
      <c r="I61" s="119">
        <v>0</v>
      </c>
      <c r="J61" s="258">
        <v>0</v>
      </c>
      <c r="K61" s="122"/>
      <c r="L61" s="627"/>
      <c r="M61" s="103"/>
    </row>
    <row r="62" spans="1:13" s="56" customFormat="1" ht="13.5" thickBot="1">
      <c r="A62" s="669"/>
      <c r="B62" s="680"/>
      <c r="C62" s="207" t="s">
        <v>17</v>
      </c>
      <c r="D62" s="681"/>
      <c r="E62" s="295">
        <f t="shared" si="5"/>
        <v>0</v>
      </c>
      <c r="F62" s="275">
        <v>0</v>
      </c>
      <c r="G62" s="252">
        <v>0</v>
      </c>
      <c r="H62" s="253">
        <v>0</v>
      </c>
      <c r="I62" s="253">
        <v>0</v>
      </c>
      <c r="J62" s="260">
        <v>0</v>
      </c>
      <c r="K62" s="126"/>
      <c r="L62" s="627"/>
      <c r="M62" s="103"/>
    </row>
    <row r="63" spans="1:13" s="56" customFormat="1" ht="13.5" customHeight="1" thickBot="1">
      <c r="A63" s="669" t="s">
        <v>162</v>
      </c>
      <c r="B63" s="680" t="s">
        <v>88</v>
      </c>
      <c r="C63" s="203" t="s">
        <v>14</v>
      </c>
      <c r="D63" s="681">
        <f>E63+E64+E65</f>
        <v>610513.12</v>
      </c>
      <c r="E63" s="290">
        <f t="shared" si="5"/>
        <v>610513.12</v>
      </c>
      <c r="F63" s="274">
        <v>0</v>
      </c>
      <c r="G63" s="248">
        <v>610513.12</v>
      </c>
      <c r="H63" s="249">
        <v>0</v>
      </c>
      <c r="I63" s="249">
        <v>0</v>
      </c>
      <c r="J63" s="256">
        <v>0</v>
      </c>
      <c r="K63" s="118"/>
      <c r="L63" s="627"/>
      <c r="M63" s="55"/>
    </row>
    <row r="64" spans="1:13" s="56" customFormat="1" ht="13.5" thickBot="1">
      <c r="A64" s="669"/>
      <c r="B64" s="680"/>
      <c r="C64" s="205" t="s">
        <v>16</v>
      </c>
      <c r="D64" s="681"/>
      <c r="E64" s="290">
        <f t="shared" si="5"/>
        <v>0</v>
      </c>
      <c r="F64" s="270">
        <v>0</v>
      </c>
      <c r="G64" s="120">
        <v>0</v>
      </c>
      <c r="H64" s="119">
        <v>0</v>
      </c>
      <c r="I64" s="119">
        <v>0</v>
      </c>
      <c r="J64" s="258">
        <v>0</v>
      </c>
      <c r="K64" s="122"/>
      <c r="L64" s="627"/>
      <c r="M64" s="55"/>
    </row>
    <row r="65" spans="1:13" s="56" customFormat="1" ht="13.5" thickBot="1">
      <c r="A65" s="669"/>
      <c r="B65" s="680"/>
      <c r="C65" s="207" t="s">
        <v>17</v>
      </c>
      <c r="D65" s="681"/>
      <c r="E65" s="295">
        <f t="shared" si="5"/>
        <v>0</v>
      </c>
      <c r="F65" s="275">
        <v>0</v>
      </c>
      <c r="G65" s="252">
        <v>0</v>
      </c>
      <c r="H65" s="253">
        <v>0</v>
      </c>
      <c r="I65" s="253">
        <v>0</v>
      </c>
      <c r="J65" s="260">
        <v>0</v>
      </c>
      <c r="K65" s="126"/>
      <c r="L65" s="627"/>
      <c r="M65" s="55"/>
    </row>
    <row r="66" spans="1:13" ht="12.75" customHeight="1" thickBot="1">
      <c r="A66" s="669" t="s">
        <v>163</v>
      </c>
      <c r="B66" s="680" t="s">
        <v>89</v>
      </c>
      <c r="C66" s="203" t="s">
        <v>14</v>
      </c>
      <c r="D66" s="681">
        <f>F66+G66</f>
        <v>13997774.51</v>
      </c>
      <c r="E66" s="290"/>
      <c r="F66" s="274">
        <f>8496339.34+417000</f>
        <v>8913339.34</v>
      </c>
      <c r="G66" s="248">
        <f>4667435.17+417000</f>
        <v>5084435.17</v>
      </c>
      <c r="H66" s="249">
        <v>0</v>
      </c>
      <c r="I66" s="249">
        <v>0</v>
      </c>
      <c r="J66" s="256">
        <v>0</v>
      </c>
      <c r="K66" s="118"/>
      <c r="L66" s="627"/>
      <c r="M66" s="98"/>
    </row>
    <row r="67" spans="1:13" ht="13.5" thickBot="1">
      <c r="A67" s="669"/>
      <c r="B67" s="680"/>
      <c r="C67" s="205" t="s">
        <v>16</v>
      </c>
      <c r="D67" s="681"/>
      <c r="E67" s="290">
        <f>SUM(F67:I67)</f>
        <v>0</v>
      </c>
      <c r="F67" s="270">
        <v>0</v>
      </c>
      <c r="G67" s="120">
        <v>0</v>
      </c>
      <c r="H67" s="119">
        <v>0</v>
      </c>
      <c r="I67" s="119">
        <v>0</v>
      </c>
      <c r="J67" s="258">
        <v>0</v>
      </c>
      <c r="K67" s="122"/>
      <c r="L67" s="627"/>
      <c r="M67" s="1"/>
    </row>
    <row r="68" spans="1:13" ht="13.5" thickBot="1">
      <c r="A68" s="669"/>
      <c r="B68" s="680"/>
      <c r="C68" s="207" t="s">
        <v>17</v>
      </c>
      <c r="D68" s="681"/>
      <c r="E68" s="295">
        <f>SUM(F68:I68)</f>
        <v>0</v>
      </c>
      <c r="F68" s="275">
        <v>0</v>
      </c>
      <c r="G68" s="252">
        <v>0</v>
      </c>
      <c r="H68" s="253">
        <v>0</v>
      </c>
      <c r="I68" s="253">
        <v>0</v>
      </c>
      <c r="J68" s="260">
        <v>0</v>
      </c>
      <c r="K68" s="126"/>
      <c r="L68" s="627"/>
      <c r="M68" s="98"/>
    </row>
    <row r="69" spans="1:13" s="10" customFormat="1" ht="12.75" customHeight="1" thickBot="1">
      <c r="A69" s="669" t="s">
        <v>165</v>
      </c>
      <c r="B69" s="680" t="s">
        <v>115</v>
      </c>
      <c r="C69" s="203" t="s">
        <v>14</v>
      </c>
      <c r="D69" s="681">
        <f>E69+E70+E71</f>
        <v>211599.99</v>
      </c>
      <c r="E69" s="279">
        <f>SUM(F69:J69)</f>
        <v>211599.99</v>
      </c>
      <c r="F69" s="274">
        <v>211599.99</v>
      </c>
      <c r="G69" s="237">
        <v>0</v>
      </c>
      <c r="H69" s="242">
        <v>0</v>
      </c>
      <c r="I69" s="242">
        <v>0</v>
      </c>
      <c r="J69" s="243">
        <v>0</v>
      </c>
      <c r="K69" s="118"/>
      <c r="L69" s="627"/>
      <c r="M69" s="9"/>
    </row>
    <row r="70" spans="1:13" s="10" customFormat="1" ht="12.75" customHeight="1" thickBot="1">
      <c r="A70" s="669"/>
      <c r="B70" s="680"/>
      <c r="C70" s="205" t="s">
        <v>16</v>
      </c>
      <c r="D70" s="681"/>
      <c r="E70" s="285">
        <f>SUM(F70:J70)</f>
        <v>0</v>
      </c>
      <c r="F70" s="120">
        <v>0</v>
      </c>
      <c r="G70" s="120">
        <v>0</v>
      </c>
      <c r="H70" s="119">
        <v>0</v>
      </c>
      <c r="I70" s="119">
        <v>0</v>
      </c>
      <c r="J70" s="121">
        <v>0</v>
      </c>
      <c r="K70" s="122"/>
      <c r="L70" s="627"/>
      <c r="M70" s="9"/>
    </row>
    <row r="71" spans="1:13" s="10" customFormat="1" ht="13.5" customHeight="1" thickBot="1">
      <c r="A71" s="669"/>
      <c r="B71" s="680"/>
      <c r="C71" s="207" t="s">
        <v>17</v>
      </c>
      <c r="D71" s="681"/>
      <c r="E71" s="281">
        <f>SUM(F71:J71)</f>
        <v>0</v>
      </c>
      <c r="F71" s="123">
        <v>0</v>
      </c>
      <c r="G71" s="123">
        <v>0</v>
      </c>
      <c r="H71" s="123">
        <v>0</v>
      </c>
      <c r="I71" s="123">
        <v>0</v>
      </c>
      <c r="J71" s="125">
        <v>0</v>
      </c>
      <c r="K71" s="126"/>
      <c r="L71" s="627"/>
      <c r="M71" s="9"/>
    </row>
    <row r="72" spans="1:13" ht="12.75" customHeight="1" thickBot="1">
      <c r="A72" s="669" t="s">
        <v>164</v>
      </c>
      <c r="B72" s="680" t="s">
        <v>127</v>
      </c>
      <c r="C72" s="203" t="s">
        <v>14</v>
      </c>
      <c r="D72" s="681">
        <f>E72+E73+E74</f>
        <v>107564000</v>
      </c>
      <c r="E72" s="280">
        <f>SUM(F72:J72)</f>
        <v>0</v>
      </c>
      <c r="F72" s="120">
        <f>SUM(G72:L72)</f>
        <v>0</v>
      </c>
      <c r="G72" s="120">
        <f>SUM(H72:M72)</f>
        <v>0</v>
      </c>
      <c r="H72" s="120">
        <f>SUM(I72:N72)</f>
        <v>0</v>
      </c>
      <c r="I72" s="120">
        <f>SUM(J72:O72)</f>
        <v>0</v>
      </c>
      <c r="J72" s="154">
        <f>SUM(L72:P72)</f>
        <v>0</v>
      </c>
      <c r="K72" s="153"/>
      <c r="L72" s="627"/>
      <c r="M72" s="1"/>
    </row>
    <row r="73" spans="1:13" ht="12.75" customHeight="1" thickBot="1">
      <c r="A73" s="669"/>
      <c r="B73" s="680"/>
      <c r="C73" s="205" t="s">
        <v>16</v>
      </c>
      <c r="D73" s="681"/>
      <c r="E73" s="280">
        <f>SUM(F73:I73)</f>
        <v>0</v>
      </c>
      <c r="F73" s="120">
        <f>SUM(G73:J73)</f>
        <v>0</v>
      </c>
      <c r="G73" s="120">
        <f>SUM(H73:L73)</f>
        <v>0</v>
      </c>
      <c r="H73" s="120">
        <f>SUM(I73:M73)</f>
        <v>0</v>
      </c>
      <c r="I73" s="120">
        <f>SUM(J73:N73)</f>
        <v>0</v>
      </c>
      <c r="J73" s="154">
        <f>SUM(L73:O73)</f>
        <v>0</v>
      </c>
      <c r="K73" s="155"/>
      <c r="L73" s="627"/>
      <c r="M73" s="1"/>
    </row>
    <row r="74" spans="1:13" ht="12.75" customHeight="1" thickBot="1">
      <c r="A74" s="669"/>
      <c r="B74" s="680"/>
      <c r="C74" s="207" t="s">
        <v>17</v>
      </c>
      <c r="D74" s="681"/>
      <c r="E74" s="281">
        <f>SUM(F74:I74)</f>
        <v>107564000</v>
      </c>
      <c r="F74" s="124">
        <v>0</v>
      </c>
      <c r="G74" s="237">
        <v>30000000</v>
      </c>
      <c r="H74" s="124">
        <v>45000000</v>
      </c>
      <c r="I74" s="124">
        <f>107564000-H74-G74</f>
        <v>32564000</v>
      </c>
      <c r="J74" s="157"/>
      <c r="K74" s="156"/>
      <c r="L74" s="627"/>
      <c r="M74" s="1"/>
    </row>
    <row r="75" spans="1:13" s="10" customFormat="1" ht="13.5" customHeight="1" thickBot="1">
      <c r="A75" s="669" t="s">
        <v>166</v>
      </c>
      <c r="B75" s="680" t="s">
        <v>137</v>
      </c>
      <c r="C75" s="203" t="s">
        <v>14</v>
      </c>
      <c r="D75" s="673">
        <v>6000000</v>
      </c>
      <c r="E75" s="279">
        <f aca="true" t="shared" si="6" ref="E75:E83">SUM(F75:J75)</f>
        <v>0</v>
      </c>
      <c r="F75" s="115">
        <f>F78+F81</f>
        <v>0</v>
      </c>
      <c r="G75" s="115">
        <f>G78+G81</f>
        <v>0</v>
      </c>
      <c r="H75" s="115">
        <f>H78+H81</f>
        <v>0</v>
      </c>
      <c r="I75" s="115">
        <f>I78+I81</f>
        <v>0</v>
      </c>
      <c r="J75" s="117">
        <f>J78+J81</f>
        <v>0</v>
      </c>
      <c r="K75" s="667" t="s">
        <v>136</v>
      </c>
      <c r="L75" s="627"/>
      <c r="M75" s="9"/>
    </row>
    <row r="76" spans="1:13" s="10" customFormat="1" ht="13.5" customHeight="1" thickBot="1">
      <c r="A76" s="669"/>
      <c r="B76" s="680"/>
      <c r="C76" s="205" t="s">
        <v>16</v>
      </c>
      <c r="D76" s="673"/>
      <c r="E76" s="280">
        <f t="shared" si="6"/>
        <v>0</v>
      </c>
      <c r="F76" s="119">
        <v>0</v>
      </c>
      <c r="G76" s="119">
        <f aca="true" t="shared" si="7" ref="G76:J77">G79+G82</f>
        <v>0</v>
      </c>
      <c r="H76" s="119">
        <f t="shared" si="7"/>
        <v>0</v>
      </c>
      <c r="I76" s="119">
        <f t="shared" si="7"/>
        <v>0</v>
      </c>
      <c r="J76" s="121">
        <f t="shared" si="7"/>
        <v>0</v>
      </c>
      <c r="K76" s="668"/>
      <c r="L76" s="627"/>
      <c r="M76" s="9"/>
    </row>
    <row r="77" spans="1:13" s="10" customFormat="1" ht="36.75" customHeight="1" thickBot="1">
      <c r="A77" s="669"/>
      <c r="B77" s="680"/>
      <c r="C77" s="207" t="s">
        <v>17</v>
      </c>
      <c r="D77" s="673"/>
      <c r="E77" s="281">
        <f t="shared" si="6"/>
        <v>0</v>
      </c>
      <c r="F77" s="119">
        <f>F80+F83</f>
        <v>0</v>
      </c>
      <c r="G77" s="119">
        <f t="shared" si="7"/>
        <v>0</v>
      </c>
      <c r="H77" s="123">
        <f t="shared" si="7"/>
        <v>0</v>
      </c>
      <c r="I77" s="123">
        <f t="shared" si="7"/>
        <v>0</v>
      </c>
      <c r="J77" s="125">
        <f t="shared" si="7"/>
        <v>0</v>
      </c>
      <c r="K77" s="668"/>
      <c r="L77" s="627"/>
      <c r="M77" s="9"/>
    </row>
    <row r="78" spans="1:13" s="10" customFormat="1" ht="13.5" customHeight="1" hidden="1" thickBot="1">
      <c r="A78" s="711"/>
      <c r="B78" s="731" t="s">
        <v>121</v>
      </c>
      <c r="C78" s="209" t="s">
        <v>14</v>
      </c>
      <c r="D78" s="732" t="s">
        <v>155</v>
      </c>
      <c r="E78" s="282">
        <f t="shared" si="6"/>
        <v>0</v>
      </c>
      <c r="F78" s="127">
        <v>0</v>
      </c>
      <c r="G78" s="127">
        <v>0</v>
      </c>
      <c r="H78" s="158">
        <v>0</v>
      </c>
      <c r="I78" s="127">
        <v>0</v>
      </c>
      <c r="J78" s="129">
        <v>0</v>
      </c>
      <c r="K78" s="315"/>
      <c r="L78" s="627"/>
      <c r="M78" s="9"/>
    </row>
    <row r="79" spans="1:13" s="10" customFormat="1" ht="13.5" customHeight="1" hidden="1" thickBot="1">
      <c r="A79" s="711"/>
      <c r="B79" s="731"/>
      <c r="C79" s="210" t="s">
        <v>16</v>
      </c>
      <c r="D79" s="732"/>
      <c r="E79" s="283">
        <f t="shared" si="6"/>
        <v>0</v>
      </c>
      <c r="F79" s="131">
        <v>0</v>
      </c>
      <c r="G79" s="131">
        <v>0</v>
      </c>
      <c r="H79" s="131">
        <v>0</v>
      </c>
      <c r="I79" s="131">
        <v>0</v>
      </c>
      <c r="J79" s="132">
        <v>0</v>
      </c>
      <c r="K79" s="315"/>
      <c r="L79" s="627"/>
      <c r="M79" s="9"/>
    </row>
    <row r="80" spans="1:13" s="10" customFormat="1" ht="25.5" customHeight="1" hidden="1" thickBot="1">
      <c r="A80" s="711"/>
      <c r="B80" s="731"/>
      <c r="C80" s="210" t="s">
        <v>17</v>
      </c>
      <c r="D80" s="732"/>
      <c r="E80" s="284">
        <f t="shared" si="6"/>
        <v>0</v>
      </c>
      <c r="F80" s="135">
        <v>0</v>
      </c>
      <c r="G80" s="135">
        <v>0</v>
      </c>
      <c r="H80" s="135">
        <v>0</v>
      </c>
      <c r="I80" s="135">
        <v>0</v>
      </c>
      <c r="J80" s="136">
        <v>0</v>
      </c>
      <c r="K80" s="315"/>
      <c r="L80" s="627"/>
      <c r="M80" s="9"/>
    </row>
    <row r="81" spans="1:13" s="10" customFormat="1" ht="13.5" customHeight="1" hidden="1" thickBot="1">
      <c r="A81" s="711"/>
      <c r="B81" s="731" t="s">
        <v>122</v>
      </c>
      <c r="C81" s="209" t="s">
        <v>14</v>
      </c>
      <c r="D81" s="732" t="s">
        <v>154</v>
      </c>
      <c r="E81" s="282">
        <f t="shared" si="6"/>
        <v>0</v>
      </c>
      <c r="F81" s="128">
        <v>0</v>
      </c>
      <c r="G81" s="128">
        <v>0</v>
      </c>
      <c r="H81" s="128">
        <v>0</v>
      </c>
      <c r="I81" s="127">
        <v>0</v>
      </c>
      <c r="J81" s="139">
        <v>0</v>
      </c>
      <c r="K81" s="315"/>
      <c r="L81" s="627"/>
      <c r="M81" s="9"/>
    </row>
    <row r="82" spans="1:13" s="10" customFormat="1" ht="13.5" customHeight="1" hidden="1" thickBot="1">
      <c r="A82" s="711"/>
      <c r="B82" s="731"/>
      <c r="C82" s="210" t="s">
        <v>16</v>
      </c>
      <c r="D82" s="732"/>
      <c r="E82" s="283">
        <f t="shared" si="6"/>
        <v>0</v>
      </c>
      <c r="F82" s="131">
        <v>0</v>
      </c>
      <c r="G82" s="131">
        <v>0</v>
      </c>
      <c r="H82" s="131">
        <v>0</v>
      </c>
      <c r="I82" s="131">
        <v>0</v>
      </c>
      <c r="J82" s="132">
        <v>0</v>
      </c>
      <c r="K82" s="315"/>
      <c r="L82" s="627"/>
      <c r="M82" s="9"/>
    </row>
    <row r="83" spans="1:13" s="10" customFormat="1" ht="26.25" customHeight="1" hidden="1" thickBot="1">
      <c r="A83" s="711"/>
      <c r="B83" s="731"/>
      <c r="C83" s="210" t="s">
        <v>17</v>
      </c>
      <c r="D83" s="732"/>
      <c r="E83" s="284">
        <f t="shared" si="6"/>
        <v>0</v>
      </c>
      <c r="F83" s="134">
        <v>0</v>
      </c>
      <c r="G83" s="134">
        <v>0</v>
      </c>
      <c r="H83" s="134">
        <v>0</v>
      </c>
      <c r="I83" s="134">
        <v>0</v>
      </c>
      <c r="J83" s="136">
        <v>0</v>
      </c>
      <c r="K83" s="315"/>
      <c r="L83" s="627"/>
      <c r="M83" s="9"/>
    </row>
    <row r="84" spans="1:13" s="10" customFormat="1" ht="13.5" customHeight="1" thickBot="1">
      <c r="A84" s="669" t="s">
        <v>167</v>
      </c>
      <c r="B84" s="680" t="s">
        <v>117</v>
      </c>
      <c r="C84" s="203" t="s">
        <v>14</v>
      </c>
      <c r="D84" s="681">
        <f>E84+E85+E86</f>
        <v>1000000</v>
      </c>
      <c r="E84" s="279">
        <f aca="true" t="shared" si="8" ref="E84:E92">SUM(F84:J84)</f>
        <v>1000000</v>
      </c>
      <c r="F84" s="116">
        <v>0</v>
      </c>
      <c r="G84" s="115">
        <v>0</v>
      </c>
      <c r="H84" s="115">
        <v>0</v>
      </c>
      <c r="I84" s="115">
        <v>1000000</v>
      </c>
      <c r="J84" s="117">
        <v>0</v>
      </c>
      <c r="K84" s="153"/>
      <c r="L84" s="627"/>
      <c r="M84" s="9"/>
    </row>
    <row r="85" spans="1:13" s="10" customFormat="1" ht="13.5" customHeight="1" thickBot="1">
      <c r="A85" s="669"/>
      <c r="B85" s="680"/>
      <c r="C85" s="205" t="s">
        <v>16</v>
      </c>
      <c r="D85" s="681"/>
      <c r="E85" s="280">
        <f t="shared" si="8"/>
        <v>0</v>
      </c>
      <c r="F85" s="120">
        <v>0</v>
      </c>
      <c r="G85" s="119">
        <v>0</v>
      </c>
      <c r="H85" s="119">
        <v>0</v>
      </c>
      <c r="I85" s="119">
        <v>0</v>
      </c>
      <c r="J85" s="121">
        <v>0</v>
      </c>
      <c r="K85" s="155"/>
      <c r="L85" s="627"/>
      <c r="M85" s="9"/>
    </row>
    <row r="86" spans="1:13" s="10" customFormat="1" ht="21.75" customHeight="1" thickBot="1">
      <c r="A86" s="669"/>
      <c r="B86" s="680"/>
      <c r="C86" s="207" t="s">
        <v>17</v>
      </c>
      <c r="D86" s="681"/>
      <c r="E86" s="281">
        <f t="shared" si="8"/>
        <v>0</v>
      </c>
      <c r="F86" s="236">
        <v>0</v>
      </c>
      <c r="G86" s="240">
        <v>0</v>
      </c>
      <c r="H86" s="240">
        <v>0</v>
      </c>
      <c r="I86" s="240">
        <v>0</v>
      </c>
      <c r="J86" s="247">
        <v>0</v>
      </c>
      <c r="K86" s="156"/>
      <c r="L86" s="627"/>
      <c r="M86" s="9"/>
    </row>
    <row r="87" spans="1:13" s="10" customFormat="1" ht="13.5" customHeight="1" thickBot="1">
      <c r="A87" s="669" t="s">
        <v>168</v>
      </c>
      <c r="B87" s="680" t="s">
        <v>114</v>
      </c>
      <c r="C87" s="203" t="s">
        <v>14</v>
      </c>
      <c r="D87" s="681">
        <v>73200</v>
      </c>
      <c r="E87" s="289">
        <f t="shared" si="8"/>
        <v>73241</v>
      </c>
      <c r="F87" s="274">
        <v>73241</v>
      </c>
      <c r="G87" s="248">
        <v>0</v>
      </c>
      <c r="H87" s="248">
        <v>0</v>
      </c>
      <c r="I87" s="248">
        <v>0</v>
      </c>
      <c r="J87" s="272">
        <v>0</v>
      </c>
      <c r="K87" s="153"/>
      <c r="L87" s="627"/>
      <c r="M87" s="9"/>
    </row>
    <row r="88" spans="1:13" s="10" customFormat="1" ht="13.5" thickBot="1">
      <c r="A88" s="669"/>
      <c r="B88" s="680"/>
      <c r="C88" s="205" t="s">
        <v>16</v>
      </c>
      <c r="D88" s="681"/>
      <c r="E88" s="290">
        <f t="shared" si="8"/>
        <v>61181</v>
      </c>
      <c r="F88" s="270">
        <v>0</v>
      </c>
      <c r="G88" s="120">
        <f>61181</f>
        <v>61181</v>
      </c>
      <c r="H88" s="120">
        <v>0</v>
      </c>
      <c r="I88" s="120">
        <v>0</v>
      </c>
      <c r="J88" s="154">
        <v>0</v>
      </c>
      <c r="K88" s="155"/>
      <c r="L88" s="627"/>
      <c r="M88" s="9"/>
    </row>
    <row r="89" spans="1:13" s="10" customFormat="1" ht="13.5" thickBot="1">
      <c r="A89" s="669"/>
      <c r="B89" s="680"/>
      <c r="C89" s="207" t="s">
        <v>17</v>
      </c>
      <c r="D89" s="681"/>
      <c r="E89" s="295">
        <f t="shared" si="8"/>
        <v>0</v>
      </c>
      <c r="F89" s="275">
        <v>0</v>
      </c>
      <c r="G89" s="252">
        <v>0</v>
      </c>
      <c r="H89" s="252">
        <v>0</v>
      </c>
      <c r="I89" s="252">
        <v>0</v>
      </c>
      <c r="J89" s="273">
        <v>0</v>
      </c>
      <c r="K89" s="156"/>
      <c r="L89" s="627"/>
      <c r="M89" s="9"/>
    </row>
    <row r="90" spans="1:13" ht="13.5" thickBot="1">
      <c r="A90" s="669" t="s">
        <v>169</v>
      </c>
      <c r="B90" s="670" t="s">
        <v>126</v>
      </c>
      <c r="C90" s="203" t="s">
        <v>14</v>
      </c>
      <c r="D90" s="673">
        <f>E90+E91+E92</f>
        <v>6056950</v>
      </c>
      <c r="E90" s="279">
        <f t="shared" si="8"/>
        <v>302850</v>
      </c>
      <c r="F90" s="237">
        <v>0</v>
      </c>
      <c r="G90" s="237">
        <v>302850</v>
      </c>
      <c r="H90" s="237">
        <v>0</v>
      </c>
      <c r="I90" s="237">
        <v>0</v>
      </c>
      <c r="J90" s="276">
        <v>0</v>
      </c>
      <c r="K90" s="155"/>
      <c r="L90" s="627"/>
      <c r="M90" s="263">
        <f>G88+G43</f>
        <v>379349.96</v>
      </c>
    </row>
    <row r="91" spans="1:13" ht="13.5" thickBot="1">
      <c r="A91" s="669"/>
      <c r="B91" s="671"/>
      <c r="C91" s="205" t="s">
        <v>16</v>
      </c>
      <c r="D91" s="673"/>
      <c r="E91" s="280">
        <f t="shared" si="8"/>
        <v>5754100</v>
      </c>
      <c r="F91" s="120">
        <v>0</v>
      </c>
      <c r="G91" s="120">
        <v>5754100</v>
      </c>
      <c r="H91" s="120">
        <v>0</v>
      </c>
      <c r="I91" s="120">
        <v>0</v>
      </c>
      <c r="J91" s="154">
        <v>0</v>
      </c>
      <c r="K91" s="155"/>
      <c r="L91" s="627"/>
      <c r="M91" s="1"/>
    </row>
    <row r="92" spans="1:13" ht="13.5" customHeight="1" thickBot="1">
      <c r="A92" s="669"/>
      <c r="B92" s="672"/>
      <c r="C92" s="207" t="s">
        <v>17</v>
      </c>
      <c r="D92" s="673"/>
      <c r="E92" s="281">
        <f t="shared" si="8"/>
        <v>0</v>
      </c>
      <c r="F92" s="236">
        <v>0</v>
      </c>
      <c r="G92" s="236">
        <v>0</v>
      </c>
      <c r="H92" s="236">
        <v>0</v>
      </c>
      <c r="I92" s="236">
        <v>0</v>
      </c>
      <c r="J92" s="266">
        <v>0</v>
      </c>
      <c r="K92" s="238"/>
      <c r="L92" s="627"/>
      <c r="M92" s="1"/>
    </row>
    <row r="93" spans="1:13" ht="13.5" customHeight="1" thickBot="1">
      <c r="A93" s="669" t="s">
        <v>170</v>
      </c>
      <c r="B93" s="670" t="s">
        <v>118</v>
      </c>
      <c r="C93" s="203" t="s">
        <v>14</v>
      </c>
      <c r="D93" s="673">
        <f>E93+E94+E95</f>
        <v>878000</v>
      </c>
      <c r="E93" s="289">
        <f aca="true" t="shared" si="9" ref="E93:E98">SUM(F93:J93)</f>
        <v>878000</v>
      </c>
      <c r="F93" s="274">
        <v>0</v>
      </c>
      <c r="G93" s="248">
        <v>878000</v>
      </c>
      <c r="H93" s="248">
        <v>0</v>
      </c>
      <c r="I93" s="248">
        <v>0</v>
      </c>
      <c r="J93" s="272">
        <v>0</v>
      </c>
      <c r="K93" s="153"/>
      <c r="L93" s="627"/>
      <c r="M93" s="1"/>
    </row>
    <row r="94" spans="1:13" ht="13.5" customHeight="1" thickBot="1">
      <c r="A94" s="669"/>
      <c r="B94" s="671"/>
      <c r="C94" s="205" t="s">
        <v>16</v>
      </c>
      <c r="D94" s="673"/>
      <c r="E94" s="290">
        <f t="shared" si="9"/>
        <v>0</v>
      </c>
      <c r="F94" s="270">
        <v>0</v>
      </c>
      <c r="G94" s="120">
        <v>0</v>
      </c>
      <c r="H94" s="120">
        <v>0</v>
      </c>
      <c r="I94" s="120">
        <v>0</v>
      </c>
      <c r="J94" s="154">
        <v>0</v>
      </c>
      <c r="K94" s="155"/>
      <c r="L94" s="627"/>
      <c r="M94" s="1"/>
    </row>
    <row r="95" spans="1:13" ht="14.25" customHeight="1" thickBot="1">
      <c r="A95" s="669"/>
      <c r="B95" s="672"/>
      <c r="C95" s="207" t="s">
        <v>17</v>
      </c>
      <c r="D95" s="673"/>
      <c r="E95" s="295">
        <f t="shared" si="9"/>
        <v>0</v>
      </c>
      <c r="F95" s="275">
        <v>0</v>
      </c>
      <c r="G95" s="252">
        <v>0</v>
      </c>
      <c r="H95" s="252">
        <v>0</v>
      </c>
      <c r="I95" s="252">
        <v>0</v>
      </c>
      <c r="J95" s="273">
        <v>0</v>
      </c>
      <c r="K95" s="156"/>
      <c r="L95" s="627"/>
      <c r="M95" s="1"/>
    </row>
    <row r="96" spans="1:13" ht="13.5" customHeight="1" hidden="1" thickBot="1">
      <c r="A96" s="669">
        <v>20</v>
      </c>
      <c r="B96" s="670" t="s">
        <v>120</v>
      </c>
      <c r="C96" s="203" t="s">
        <v>14</v>
      </c>
      <c r="D96" s="673">
        <f>E96+E97+E98</f>
        <v>0</v>
      </c>
      <c r="E96" s="279">
        <f t="shared" si="9"/>
        <v>0</v>
      </c>
      <c r="F96" s="242">
        <v>0</v>
      </c>
      <c r="G96" s="242">
        <v>0</v>
      </c>
      <c r="H96" s="242">
        <v>0</v>
      </c>
      <c r="I96" s="242">
        <v>0</v>
      </c>
      <c r="J96" s="277">
        <v>0</v>
      </c>
      <c r="K96" s="159"/>
      <c r="L96" s="627"/>
      <c r="M96" s="1"/>
    </row>
    <row r="97" spans="1:13" ht="13.5" customHeight="1" hidden="1" thickBot="1">
      <c r="A97" s="669"/>
      <c r="B97" s="671"/>
      <c r="C97" s="205" t="s">
        <v>16</v>
      </c>
      <c r="D97" s="673"/>
      <c r="E97" s="280">
        <f t="shared" si="9"/>
        <v>0</v>
      </c>
      <c r="F97" s="119">
        <v>0</v>
      </c>
      <c r="G97" s="119">
        <v>0</v>
      </c>
      <c r="H97" s="115">
        <v>0</v>
      </c>
      <c r="I97" s="119">
        <v>0</v>
      </c>
      <c r="J97" s="160">
        <v>0</v>
      </c>
      <c r="K97" s="159"/>
      <c r="L97" s="627"/>
      <c r="M97" s="1"/>
    </row>
    <row r="98" spans="1:13" ht="13.5" customHeight="1" hidden="1" thickBot="1">
      <c r="A98" s="669"/>
      <c r="B98" s="672"/>
      <c r="C98" s="207" t="s">
        <v>17</v>
      </c>
      <c r="D98" s="673"/>
      <c r="E98" s="281">
        <f t="shared" si="9"/>
        <v>0</v>
      </c>
      <c r="F98" s="119">
        <v>0</v>
      </c>
      <c r="G98" s="119">
        <v>0</v>
      </c>
      <c r="H98" s="115">
        <v>0</v>
      </c>
      <c r="I98" s="123">
        <v>0</v>
      </c>
      <c r="J98" s="161">
        <v>0</v>
      </c>
      <c r="K98" s="162"/>
      <c r="L98" s="627"/>
      <c r="M98" s="1"/>
    </row>
    <row r="99" spans="1:13" ht="13.5" customHeight="1" thickBot="1">
      <c r="A99" s="669" t="s">
        <v>171</v>
      </c>
      <c r="B99" s="670" t="s">
        <v>123</v>
      </c>
      <c r="C99" s="203" t="s">
        <v>14</v>
      </c>
      <c r="D99" s="673">
        <v>2364000</v>
      </c>
      <c r="E99" s="279">
        <f>SUM(F99:J99)</f>
        <v>0</v>
      </c>
      <c r="F99" s="115">
        <v>0</v>
      </c>
      <c r="G99" s="115">
        <v>0</v>
      </c>
      <c r="H99" s="115">
        <v>0</v>
      </c>
      <c r="I99" s="115">
        <v>0</v>
      </c>
      <c r="J99" s="117">
        <v>0</v>
      </c>
      <c r="K99" s="667" t="s">
        <v>136</v>
      </c>
      <c r="L99" s="627"/>
      <c r="M99" s="1"/>
    </row>
    <row r="100" spans="1:13" ht="13.5" customHeight="1" thickBot="1">
      <c r="A100" s="669"/>
      <c r="B100" s="671"/>
      <c r="C100" s="205" t="s">
        <v>16</v>
      </c>
      <c r="D100" s="673"/>
      <c r="E100" s="280">
        <f>SUM(F100:J100)</f>
        <v>0</v>
      </c>
      <c r="F100" s="119">
        <v>0</v>
      </c>
      <c r="G100" s="119">
        <v>0</v>
      </c>
      <c r="H100" s="119">
        <v>0</v>
      </c>
      <c r="I100" s="119">
        <v>0</v>
      </c>
      <c r="J100" s="121">
        <v>0</v>
      </c>
      <c r="K100" s="733"/>
      <c r="L100" s="627"/>
      <c r="M100" s="1"/>
    </row>
    <row r="101" spans="1:13" ht="34.5" customHeight="1" thickBot="1">
      <c r="A101" s="669"/>
      <c r="B101" s="672"/>
      <c r="C101" s="207" t="s">
        <v>17</v>
      </c>
      <c r="D101" s="673"/>
      <c r="E101" s="281">
        <f>SUM(F101:J101)</f>
        <v>0</v>
      </c>
      <c r="F101" s="119">
        <v>0</v>
      </c>
      <c r="G101" s="119">
        <v>0</v>
      </c>
      <c r="H101" s="123">
        <v>0</v>
      </c>
      <c r="I101" s="123">
        <v>0</v>
      </c>
      <c r="J101" s="125">
        <v>0</v>
      </c>
      <c r="K101" s="734"/>
      <c r="L101" s="627"/>
      <c r="M101" s="263"/>
    </row>
    <row r="102" spans="1:13" ht="13.5" customHeight="1">
      <c r="A102" s="674" t="s">
        <v>172</v>
      </c>
      <c r="B102" s="670" t="s">
        <v>124</v>
      </c>
      <c r="C102" s="203" t="s">
        <v>14</v>
      </c>
      <c r="D102" s="687">
        <f>E102+E103+E104</f>
        <v>2500000</v>
      </c>
      <c r="E102" s="279">
        <f aca="true" t="shared" si="10" ref="E102:E107">SUM(F102:J102)</f>
        <v>2500000</v>
      </c>
      <c r="F102" s="115">
        <v>0</v>
      </c>
      <c r="G102" s="115">
        <v>0</v>
      </c>
      <c r="H102" s="115">
        <v>2500000</v>
      </c>
      <c r="I102" s="115">
        <v>0</v>
      </c>
      <c r="J102" s="117">
        <v>0</v>
      </c>
      <c r="K102" s="118"/>
      <c r="L102" s="627"/>
      <c r="M102" s="1"/>
    </row>
    <row r="103" spans="1:13" ht="13.5" customHeight="1">
      <c r="A103" s="675"/>
      <c r="B103" s="671"/>
      <c r="C103" s="205" t="s">
        <v>16</v>
      </c>
      <c r="D103" s="688"/>
      <c r="E103" s="280">
        <f t="shared" si="10"/>
        <v>0</v>
      </c>
      <c r="F103" s="119">
        <v>0</v>
      </c>
      <c r="G103" s="119">
        <v>0</v>
      </c>
      <c r="H103" s="119">
        <v>0</v>
      </c>
      <c r="I103" s="119">
        <v>0</v>
      </c>
      <c r="J103" s="121">
        <v>0</v>
      </c>
      <c r="K103" s="122"/>
      <c r="L103" s="627"/>
      <c r="M103" s="1"/>
    </row>
    <row r="104" spans="1:13" ht="11.25" customHeight="1" thickBot="1">
      <c r="A104" s="676"/>
      <c r="B104" s="672"/>
      <c r="C104" s="207" t="s">
        <v>17</v>
      </c>
      <c r="D104" s="689"/>
      <c r="E104" s="281">
        <f t="shared" si="10"/>
        <v>0</v>
      </c>
      <c r="F104" s="119">
        <v>0</v>
      </c>
      <c r="G104" s="119">
        <v>0</v>
      </c>
      <c r="H104" s="123">
        <v>0</v>
      </c>
      <c r="I104" s="123">
        <v>0</v>
      </c>
      <c r="J104" s="125">
        <v>0</v>
      </c>
      <c r="K104" s="126"/>
      <c r="L104" s="627"/>
      <c r="M104" s="1"/>
    </row>
    <row r="105" spans="1:13" ht="13.5" customHeight="1" thickBot="1">
      <c r="A105" s="669" t="s">
        <v>173</v>
      </c>
      <c r="B105" s="670" t="s">
        <v>125</v>
      </c>
      <c r="C105" s="203" t="s">
        <v>14</v>
      </c>
      <c r="D105" s="673">
        <f>E105+E106+E107</f>
        <v>2472193.89</v>
      </c>
      <c r="E105" s="279">
        <f t="shared" si="10"/>
        <v>2472193.89</v>
      </c>
      <c r="F105" s="115">
        <v>0</v>
      </c>
      <c r="G105" s="115">
        <v>0</v>
      </c>
      <c r="H105" s="115">
        <f>2000000+282100+119.89-99052.02+289026.02</f>
        <v>2472193.89</v>
      </c>
      <c r="I105" s="115">
        <v>0</v>
      </c>
      <c r="J105" s="117">
        <v>0</v>
      </c>
      <c r="K105" s="163"/>
      <c r="L105" s="627"/>
      <c r="M105" s="263"/>
    </row>
    <row r="106" spans="1:13" ht="13.5" customHeight="1" thickBot="1">
      <c r="A106" s="669"/>
      <c r="B106" s="671"/>
      <c r="C106" s="205" t="s">
        <v>16</v>
      </c>
      <c r="D106" s="673"/>
      <c r="E106" s="280">
        <f t="shared" si="10"/>
        <v>0</v>
      </c>
      <c r="F106" s="119">
        <v>0</v>
      </c>
      <c r="G106" s="119">
        <v>0</v>
      </c>
      <c r="H106" s="119">
        <v>0</v>
      </c>
      <c r="I106" s="119">
        <v>0</v>
      </c>
      <c r="J106" s="121">
        <v>0</v>
      </c>
      <c r="K106" s="122"/>
      <c r="L106" s="627"/>
      <c r="M106" s="1"/>
    </row>
    <row r="107" spans="1:13" ht="11.25" customHeight="1" thickBot="1">
      <c r="A107" s="669"/>
      <c r="B107" s="672"/>
      <c r="C107" s="207" t="s">
        <v>17</v>
      </c>
      <c r="D107" s="673"/>
      <c r="E107" s="281">
        <f t="shared" si="10"/>
        <v>0</v>
      </c>
      <c r="F107" s="119">
        <v>0</v>
      </c>
      <c r="G107" s="119">
        <v>0</v>
      </c>
      <c r="H107" s="123">
        <v>0</v>
      </c>
      <c r="I107" s="123">
        <v>0</v>
      </c>
      <c r="J107" s="125">
        <v>0</v>
      </c>
      <c r="K107" s="126"/>
      <c r="L107" s="627"/>
      <c r="M107" s="1"/>
    </row>
    <row r="108" spans="1:13" ht="11.25" customHeight="1" thickBot="1">
      <c r="A108" s="669" t="s">
        <v>174</v>
      </c>
      <c r="B108" s="670" t="s">
        <v>184</v>
      </c>
      <c r="C108" s="203" t="s">
        <v>14</v>
      </c>
      <c r="D108" s="673">
        <f>H108+H109</f>
        <v>1529641</v>
      </c>
      <c r="E108" s="279">
        <f aca="true" t="shared" si="11" ref="E108:E131">SUM(F108:J108)</f>
        <v>76482.05</v>
      </c>
      <c r="F108" s="115">
        <v>0</v>
      </c>
      <c r="G108" s="115">
        <v>0</v>
      </c>
      <c r="H108" s="115">
        <f>ROUND(1529641*5/100,2)</f>
        <v>76482.05</v>
      </c>
      <c r="I108" s="115">
        <v>0</v>
      </c>
      <c r="J108" s="117">
        <v>0</v>
      </c>
      <c r="K108" s="163"/>
      <c r="L108" s="627"/>
      <c r="M108" s="1"/>
    </row>
    <row r="109" spans="1:16" ht="11.25" customHeight="1" thickBot="1">
      <c r="A109" s="669"/>
      <c r="B109" s="671"/>
      <c r="C109" s="205" t="s">
        <v>16</v>
      </c>
      <c r="D109" s="673"/>
      <c r="E109" s="280">
        <f t="shared" si="11"/>
        <v>1453158.95</v>
      </c>
      <c r="F109" s="119">
        <v>0</v>
      </c>
      <c r="G109" s="119">
        <v>0</v>
      </c>
      <c r="H109" s="119">
        <f>ROUND(1529641*95/100,2)</f>
        <v>1453158.95</v>
      </c>
      <c r="I109" s="119">
        <v>0</v>
      </c>
      <c r="J109" s="121">
        <v>0</v>
      </c>
      <c r="K109" s="122"/>
      <c r="L109" s="627"/>
      <c r="M109" s="263"/>
      <c r="P109" s="261"/>
    </row>
    <row r="110" spans="1:16" ht="11.25" customHeight="1" thickBot="1">
      <c r="A110" s="669"/>
      <c r="B110" s="672"/>
      <c r="C110" s="207" t="s">
        <v>17</v>
      </c>
      <c r="D110" s="673"/>
      <c r="E110" s="281">
        <f t="shared" si="11"/>
        <v>0</v>
      </c>
      <c r="F110" s="119">
        <v>0</v>
      </c>
      <c r="G110" s="119">
        <v>0</v>
      </c>
      <c r="H110" s="123">
        <v>0</v>
      </c>
      <c r="I110" s="123">
        <v>0</v>
      </c>
      <c r="J110" s="125">
        <v>0</v>
      </c>
      <c r="K110" s="126"/>
      <c r="L110" s="627"/>
      <c r="M110" s="263"/>
      <c r="P110" s="261"/>
    </row>
    <row r="111" spans="1:14" ht="11.25" customHeight="1" thickBot="1">
      <c r="A111" s="669" t="s">
        <v>175</v>
      </c>
      <c r="B111" s="670" t="s">
        <v>185</v>
      </c>
      <c r="C111" s="203" t="s">
        <v>14</v>
      </c>
      <c r="D111" s="673">
        <f>H111+H112</f>
        <v>309389.91</v>
      </c>
      <c r="E111" s="279">
        <f t="shared" si="11"/>
        <v>15469.5</v>
      </c>
      <c r="F111" s="115">
        <v>0</v>
      </c>
      <c r="G111" s="115">
        <v>0</v>
      </c>
      <c r="H111" s="115">
        <f>ROUND(309389.9*5/100,2)</f>
        <v>15469.5</v>
      </c>
      <c r="I111" s="115">
        <v>0</v>
      </c>
      <c r="J111" s="117">
        <v>0</v>
      </c>
      <c r="K111" s="163"/>
      <c r="L111" s="627"/>
      <c r="M111" s="263">
        <f>H114+H117+H120+H123+H126+H108</f>
        <v>324105.26</v>
      </c>
      <c r="N111" t="s">
        <v>191</v>
      </c>
    </row>
    <row r="112" spans="1:15" ht="11.25" customHeight="1" thickBot="1">
      <c r="A112" s="669"/>
      <c r="B112" s="671"/>
      <c r="C112" s="205" t="s">
        <v>16</v>
      </c>
      <c r="D112" s="673"/>
      <c r="E112" s="280">
        <f t="shared" si="11"/>
        <v>293920.41</v>
      </c>
      <c r="F112" s="119">
        <v>0</v>
      </c>
      <c r="G112" s="119">
        <v>0</v>
      </c>
      <c r="H112" s="119">
        <f>ROUND(309389.9*95/100,2)</f>
        <v>293920.41</v>
      </c>
      <c r="I112" s="119">
        <v>0</v>
      </c>
      <c r="J112" s="121">
        <v>0</v>
      </c>
      <c r="K112" s="122"/>
      <c r="L112" s="627"/>
      <c r="M112" s="263">
        <f>H109+H115+H118+H121+H124+H127</f>
        <v>6158000</v>
      </c>
      <c r="N112" s="261" t="s">
        <v>192</v>
      </c>
      <c r="O112" s="261"/>
    </row>
    <row r="113" spans="1:15" ht="11.25" customHeight="1" thickBot="1">
      <c r="A113" s="669"/>
      <c r="B113" s="672"/>
      <c r="C113" s="207" t="s">
        <v>17</v>
      </c>
      <c r="D113" s="673"/>
      <c r="E113" s="281">
        <f t="shared" si="11"/>
        <v>0</v>
      </c>
      <c r="F113" s="119">
        <v>0</v>
      </c>
      <c r="G113" s="119">
        <v>0</v>
      </c>
      <c r="H113" s="123">
        <v>0</v>
      </c>
      <c r="I113" s="123">
        <v>0</v>
      </c>
      <c r="J113" s="125">
        <v>0</v>
      </c>
      <c r="K113" s="126"/>
      <c r="L113" s="627"/>
      <c r="M113" s="263"/>
      <c r="N113">
        <f>6158000</f>
        <v>6158000</v>
      </c>
      <c r="O113" s="261"/>
    </row>
    <row r="114" spans="1:13" ht="11.25" customHeight="1" thickBot="1">
      <c r="A114" s="669" t="s">
        <v>176</v>
      </c>
      <c r="B114" s="670" t="s">
        <v>186</v>
      </c>
      <c r="C114" s="203" t="s">
        <v>14</v>
      </c>
      <c r="D114" s="673">
        <f>H114+H115</f>
        <v>352935</v>
      </c>
      <c r="E114" s="279">
        <f t="shared" si="11"/>
        <v>17646.75</v>
      </c>
      <c r="F114" s="115">
        <v>0</v>
      </c>
      <c r="G114" s="115">
        <v>0</v>
      </c>
      <c r="H114" s="115">
        <f>ROUND(352935*5/100,2)</f>
        <v>17646.75</v>
      </c>
      <c r="I114" s="115">
        <v>0</v>
      </c>
      <c r="J114" s="117">
        <v>0</v>
      </c>
      <c r="K114" s="163"/>
      <c r="L114" s="627"/>
      <c r="M114" s="263" t="s">
        <v>77</v>
      </c>
    </row>
    <row r="115" spans="1:15" ht="11.25" customHeight="1" thickBot="1">
      <c r="A115" s="669"/>
      <c r="B115" s="671"/>
      <c r="C115" s="205" t="s">
        <v>16</v>
      </c>
      <c r="D115" s="673"/>
      <c r="E115" s="280">
        <f t="shared" si="11"/>
        <v>335288.25</v>
      </c>
      <c r="F115" s="119">
        <v>0</v>
      </c>
      <c r="G115" s="119">
        <v>0</v>
      </c>
      <c r="H115" s="119">
        <f>ROUND(352935*95/100,2)</f>
        <v>335288.25</v>
      </c>
      <c r="I115" s="119">
        <v>0</v>
      </c>
      <c r="J115" s="121">
        <v>0</v>
      </c>
      <c r="K115" s="122"/>
      <c r="L115" s="627"/>
      <c r="M115" s="263">
        <f>H46+H112</f>
        <v>556004.72</v>
      </c>
      <c r="N115" s="261">
        <f>542005.12</f>
        <v>542005.12</v>
      </c>
      <c r="O115" s="261">
        <f>M115-N115</f>
        <v>13999.599999999977</v>
      </c>
    </row>
    <row r="116" spans="1:13" ht="11.25" customHeight="1" thickBot="1">
      <c r="A116" s="669"/>
      <c r="B116" s="672"/>
      <c r="C116" s="207" t="s">
        <v>17</v>
      </c>
      <c r="D116" s="673"/>
      <c r="E116" s="281">
        <f t="shared" si="11"/>
        <v>0</v>
      </c>
      <c r="F116" s="119">
        <v>0</v>
      </c>
      <c r="G116" s="119">
        <v>0</v>
      </c>
      <c r="H116" s="123">
        <v>0</v>
      </c>
      <c r="I116" s="123">
        <v>0</v>
      </c>
      <c r="J116" s="125">
        <v>0</v>
      </c>
      <c r="K116" s="126"/>
      <c r="L116" s="627"/>
      <c r="M116" s="263"/>
    </row>
    <row r="117" spans="1:13" ht="11.25" customHeight="1" thickBot="1">
      <c r="A117" s="669" t="s">
        <v>177</v>
      </c>
      <c r="B117" s="670" t="s">
        <v>187</v>
      </c>
      <c r="C117" s="203" t="s">
        <v>14</v>
      </c>
      <c r="D117" s="673">
        <f>H117+H118</f>
        <v>1903319.26</v>
      </c>
      <c r="E117" s="279">
        <f t="shared" si="11"/>
        <v>95165.96</v>
      </c>
      <c r="F117" s="115">
        <v>0</v>
      </c>
      <c r="G117" s="115">
        <v>0</v>
      </c>
      <c r="H117" s="115">
        <f>ROUND(1903319.26*5/100,2)</f>
        <v>95165.96</v>
      </c>
      <c r="I117" s="115">
        <v>0</v>
      </c>
      <c r="J117" s="117">
        <v>0</v>
      </c>
      <c r="K117" s="163"/>
      <c r="L117" s="627"/>
      <c r="M117" s="263">
        <f>M112+M115</f>
        <v>6714004.72</v>
      </c>
    </row>
    <row r="118" spans="1:13" ht="11.25" customHeight="1" thickBot="1">
      <c r="A118" s="669"/>
      <c r="B118" s="671"/>
      <c r="C118" s="205" t="s">
        <v>16</v>
      </c>
      <c r="D118" s="673"/>
      <c r="E118" s="280">
        <f t="shared" si="11"/>
        <v>1808153.3</v>
      </c>
      <c r="F118" s="119">
        <v>0</v>
      </c>
      <c r="G118" s="119">
        <v>0</v>
      </c>
      <c r="H118" s="119">
        <f>ROUND(1903319.26*95/100,2)</f>
        <v>1808153.3</v>
      </c>
      <c r="I118" s="119">
        <v>0</v>
      </c>
      <c r="J118" s="121">
        <v>0</v>
      </c>
      <c r="K118" s="122"/>
      <c r="L118" s="627"/>
      <c r="M118" s="263"/>
    </row>
    <row r="119" spans="1:13" s="323" customFormat="1" ht="11.25" customHeight="1" thickBot="1">
      <c r="A119" s="669"/>
      <c r="B119" s="672"/>
      <c r="C119" s="316" t="s">
        <v>17</v>
      </c>
      <c r="D119" s="673"/>
      <c r="E119" s="317">
        <f t="shared" si="11"/>
        <v>0</v>
      </c>
      <c r="F119" s="318">
        <v>0</v>
      </c>
      <c r="G119" s="318">
        <v>0</v>
      </c>
      <c r="H119" s="319">
        <v>0</v>
      </c>
      <c r="I119" s="319">
        <v>0</v>
      </c>
      <c r="J119" s="320">
        <v>0</v>
      </c>
      <c r="K119" s="321"/>
      <c r="L119" s="627"/>
      <c r="M119" s="322"/>
    </row>
    <row r="120" spans="1:13" s="323" customFormat="1" ht="11.25" customHeight="1" thickBot="1">
      <c r="A120" s="669" t="s">
        <v>178</v>
      </c>
      <c r="B120" s="670" t="s">
        <v>188</v>
      </c>
      <c r="C120" s="203" t="s">
        <v>14</v>
      </c>
      <c r="D120" s="673">
        <f>H120+H121</f>
        <v>1107605</v>
      </c>
      <c r="E120" s="279">
        <f t="shared" si="11"/>
        <v>55380.25</v>
      </c>
      <c r="F120" s="115">
        <v>0</v>
      </c>
      <c r="G120" s="115">
        <v>0</v>
      </c>
      <c r="H120" s="115">
        <f>ROUND(1107605*5/100,2)</f>
        <v>55380.25</v>
      </c>
      <c r="I120" s="115">
        <v>0</v>
      </c>
      <c r="J120" s="117">
        <v>0</v>
      </c>
      <c r="K120" s="163"/>
      <c r="L120" s="627"/>
      <c r="M120" s="322"/>
    </row>
    <row r="121" spans="1:13" s="323" customFormat="1" ht="11.25" customHeight="1" thickBot="1">
      <c r="A121" s="669"/>
      <c r="B121" s="671"/>
      <c r="C121" s="205" t="s">
        <v>16</v>
      </c>
      <c r="D121" s="673"/>
      <c r="E121" s="280">
        <f t="shared" si="11"/>
        <v>1052224.75</v>
      </c>
      <c r="F121" s="119">
        <v>0</v>
      </c>
      <c r="G121" s="119">
        <v>0</v>
      </c>
      <c r="H121" s="119">
        <f>ROUND(1107605*95/100,2)</f>
        <v>1052224.75</v>
      </c>
      <c r="I121" s="119">
        <v>0</v>
      </c>
      <c r="J121" s="121">
        <v>0</v>
      </c>
      <c r="K121" s="122"/>
      <c r="L121" s="627"/>
      <c r="M121" s="322"/>
    </row>
    <row r="122" spans="1:17" ht="11.25" customHeight="1" thickBot="1">
      <c r="A122" s="669"/>
      <c r="B122" s="672"/>
      <c r="C122" s="316" t="s">
        <v>17</v>
      </c>
      <c r="D122" s="673"/>
      <c r="E122" s="317">
        <f t="shared" si="11"/>
        <v>0</v>
      </c>
      <c r="F122" s="318">
        <v>0</v>
      </c>
      <c r="G122" s="318">
        <v>0</v>
      </c>
      <c r="H122" s="319">
        <v>0</v>
      </c>
      <c r="I122" s="319">
        <v>0</v>
      </c>
      <c r="J122" s="320">
        <v>0</v>
      </c>
      <c r="K122" s="321"/>
      <c r="L122" s="627"/>
      <c r="M122" s="263">
        <f>H108+H114+H117+H120+H123+H126</f>
        <v>324105.26</v>
      </c>
      <c r="N122" s="261">
        <f>H45+H111</f>
        <v>28802.39</v>
      </c>
      <c r="O122" s="261">
        <f>H21</f>
        <v>2629419.35</v>
      </c>
      <c r="P122" s="261">
        <f>H102+H105</f>
        <v>4972193.890000001</v>
      </c>
      <c r="Q122" s="261">
        <f>M122+N122+O122+P122</f>
        <v>7954520.890000001</v>
      </c>
    </row>
    <row r="123" spans="1:17" ht="11.25" customHeight="1" thickBot="1">
      <c r="A123" s="669" t="s">
        <v>179</v>
      </c>
      <c r="B123" s="670" t="s">
        <v>189</v>
      </c>
      <c r="C123" s="203" t="s">
        <v>14</v>
      </c>
      <c r="D123" s="673">
        <f>H123+H124</f>
        <v>759887</v>
      </c>
      <c r="E123" s="279">
        <f t="shared" si="11"/>
        <v>37994.35</v>
      </c>
      <c r="F123" s="115">
        <v>0</v>
      </c>
      <c r="G123" s="115">
        <v>0</v>
      </c>
      <c r="H123" s="115">
        <f>ROUND(759887*5/100,2)</f>
        <v>37994.35</v>
      </c>
      <c r="I123" s="115">
        <v>0</v>
      </c>
      <c r="J123" s="117">
        <v>0</v>
      </c>
      <c r="K123" s="163"/>
      <c r="L123" s="627"/>
      <c r="M123" s="263">
        <f>H109+H115+H118+H121+H124+H127</f>
        <v>6158000</v>
      </c>
      <c r="N123" s="261">
        <f>H46+H112</f>
        <v>556004.72</v>
      </c>
      <c r="Q123">
        <f>7954520.89</f>
        <v>7954520.89</v>
      </c>
    </row>
    <row r="124" spans="1:17" ht="11.25" customHeight="1" thickBot="1">
      <c r="A124" s="669"/>
      <c r="B124" s="671"/>
      <c r="C124" s="205" t="s">
        <v>16</v>
      </c>
      <c r="D124" s="673"/>
      <c r="E124" s="280">
        <f t="shared" si="11"/>
        <v>721892.65</v>
      </c>
      <c r="F124" s="119">
        <v>0</v>
      </c>
      <c r="G124" s="119">
        <v>0</v>
      </c>
      <c r="H124" s="119">
        <f>ROUND(759887*95/100,2)</f>
        <v>721892.65</v>
      </c>
      <c r="I124" s="119">
        <v>0</v>
      </c>
      <c r="J124" s="121">
        <v>0</v>
      </c>
      <c r="K124" s="122"/>
      <c r="L124" s="627"/>
      <c r="M124" s="263"/>
      <c r="Q124" s="261">
        <f>Q122-Q123</f>
        <v>0</v>
      </c>
    </row>
    <row r="125" spans="1:13" ht="11.25" customHeight="1" thickBot="1">
      <c r="A125" s="669"/>
      <c r="B125" s="672"/>
      <c r="C125" s="316" t="s">
        <v>17</v>
      </c>
      <c r="D125" s="673"/>
      <c r="E125" s="317">
        <f t="shared" si="11"/>
        <v>0</v>
      </c>
      <c r="F125" s="318">
        <v>0</v>
      </c>
      <c r="G125" s="318">
        <v>0</v>
      </c>
      <c r="H125" s="319">
        <v>0</v>
      </c>
      <c r="I125" s="319">
        <v>0</v>
      </c>
      <c r="J125" s="320">
        <v>0</v>
      </c>
      <c r="K125" s="321"/>
      <c r="L125" s="627"/>
      <c r="M125" s="263"/>
    </row>
    <row r="126" spans="1:13" ht="11.25" customHeight="1" thickBot="1">
      <c r="A126" s="669" t="s">
        <v>180</v>
      </c>
      <c r="B126" s="670" t="s">
        <v>190</v>
      </c>
      <c r="C126" s="203" t="s">
        <v>14</v>
      </c>
      <c r="D126" s="673">
        <f>H126+H127</f>
        <v>828718</v>
      </c>
      <c r="E126" s="279">
        <f t="shared" si="11"/>
        <v>41435.9</v>
      </c>
      <c r="F126" s="115">
        <v>0</v>
      </c>
      <c r="G126" s="115">
        <v>0</v>
      </c>
      <c r="H126" s="115">
        <f>ROUND(828718*5/100,2)</f>
        <v>41435.9</v>
      </c>
      <c r="I126" s="115">
        <v>0</v>
      </c>
      <c r="J126" s="117">
        <v>0</v>
      </c>
      <c r="K126" s="163"/>
      <c r="L126" s="627"/>
      <c r="M126" s="263"/>
    </row>
    <row r="127" spans="1:13" ht="11.25" customHeight="1" thickBot="1">
      <c r="A127" s="669"/>
      <c r="B127" s="671"/>
      <c r="C127" s="205" t="s">
        <v>16</v>
      </c>
      <c r="D127" s="673"/>
      <c r="E127" s="280">
        <f t="shared" si="11"/>
        <v>787282.1</v>
      </c>
      <c r="F127" s="119">
        <v>0</v>
      </c>
      <c r="G127" s="119">
        <v>0</v>
      </c>
      <c r="H127" s="119">
        <f>ROUND(828718*95/100,2)</f>
        <v>787282.1</v>
      </c>
      <c r="I127" s="119">
        <v>0</v>
      </c>
      <c r="J127" s="121">
        <v>0</v>
      </c>
      <c r="K127" s="122"/>
      <c r="L127" s="627"/>
      <c r="M127" s="263"/>
    </row>
    <row r="128" spans="1:13" ht="11.25" customHeight="1" thickBot="1">
      <c r="A128" s="669"/>
      <c r="B128" s="672"/>
      <c r="C128" s="316" t="s">
        <v>17</v>
      </c>
      <c r="D128" s="673"/>
      <c r="E128" s="317">
        <f t="shared" si="11"/>
        <v>0</v>
      </c>
      <c r="F128" s="318">
        <v>0</v>
      </c>
      <c r="G128" s="318">
        <v>0</v>
      </c>
      <c r="H128" s="319">
        <v>0</v>
      </c>
      <c r="I128" s="319">
        <v>0</v>
      </c>
      <c r="J128" s="320">
        <v>0</v>
      </c>
      <c r="K128" s="321"/>
      <c r="L128" s="627"/>
      <c r="M128" s="263"/>
    </row>
    <row r="129" spans="1:14" ht="12.75" customHeight="1">
      <c r="A129" s="716"/>
      <c r="B129" s="719" t="s">
        <v>29</v>
      </c>
      <c r="C129" s="215" t="s">
        <v>14</v>
      </c>
      <c r="D129" s="722"/>
      <c r="E129" s="296">
        <f t="shared" si="11"/>
        <v>36696042.050000004</v>
      </c>
      <c r="F129" s="164">
        <f>F12+F21+F30+F33+F36+F51+F54+F57+F60+F63+F66+F69+F72+F75+F84+F87+F90+F93+F99+F102+F105+F108+F111+F114+F117+F120+F123+F126</f>
        <v>15851953.08</v>
      </c>
      <c r="G129" s="164">
        <f>G12+G21+G30+G33+G36+G51+G54+G57+G60+G63+G66+G69+G69+G72+G75+G84+G87+G90+G93+G99+G102+G105+G108+G111+G114+G117+G120+G123+G126</f>
        <v>11600542.059999999</v>
      </c>
      <c r="H129" s="164">
        <f>H12+H21+H30+H33+H36+H51+H54+H57+H60+H63+H66+H69+H69+H72+H75+H84+H87+H90+H93+H99+H102+H105+H108+H111+H114+H117+H120+H123+H126</f>
        <v>7954520.890000001</v>
      </c>
      <c r="I129" s="164">
        <f>I12+I21+I30+I33+I36+I51+I54+I57+I60+I63+I66+I69+I69+I72+I75+I84+I87+I90+I93+I99+I102+I105+I108+I111+I114+I117+I120+I123+I126</f>
        <v>1289026.02</v>
      </c>
      <c r="J129" s="164">
        <f>J12+J21+J30+J33+J36+J51+J54+J57+J60+J63+J66+J69+J69+J72+J75+J84+J87+J90+J93+J99+J102+J105+J108+J111+J114+J117+J120+J123+J126</f>
        <v>0</v>
      </c>
      <c r="K129" s="166"/>
      <c r="L129" s="627"/>
      <c r="M129" s="263">
        <f>7954520.89</f>
        <v>7954520.89</v>
      </c>
      <c r="N129" s="261">
        <f>M129-H129</f>
        <v>0</v>
      </c>
    </row>
    <row r="130" spans="1:14" ht="12.75" customHeight="1">
      <c r="A130" s="717"/>
      <c r="B130" s="720"/>
      <c r="C130" s="216" t="s">
        <v>16</v>
      </c>
      <c r="D130" s="723"/>
      <c r="E130" s="297">
        <f t="shared" si="11"/>
        <v>12847454.68</v>
      </c>
      <c r="F130" s="167">
        <f>F13+F22+F31+F34+F37+F52+F55+F58+F61+F64+F67+F70+F73+F76+F85+F88+F91+F94+F100+F103+F106+F109+F112+F115+F118+F121+F124+F127</f>
        <v>0</v>
      </c>
      <c r="G130" s="167">
        <f aca="true" t="shared" si="12" ref="G130:J131">G13+G22+G31+G34+G37+G52+G55+G58+G61+G64+G67+G70+G73+G76+G85+G88+G91+G94+G100+G103+G106+G109+G112+G115+G118+G121+G124+G127</f>
        <v>6133449.96</v>
      </c>
      <c r="H130" s="167">
        <f t="shared" si="12"/>
        <v>6714004.72</v>
      </c>
      <c r="I130" s="167">
        <f t="shared" si="12"/>
        <v>0</v>
      </c>
      <c r="J130" s="167">
        <f t="shared" si="12"/>
        <v>0</v>
      </c>
      <c r="K130" s="169"/>
      <c r="L130" s="627"/>
      <c r="M130" s="263"/>
      <c r="N130" s="261"/>
    </row>
    <row r="131" spans="1:13" ht="12.75" customHeight="1" thickBot="1">
      <c r="A131" s="718"/>
      <c r="B131" s="721"/>
      <c r="C131" s="217" t="s">
        <v>17</v>
      </c>
      <c r="D131" s="724"/>
      <c r="E131" s="298">
        <f t="shared" si="11"/>
        <v>168588975.98</v>
      </c>
      <c r="F131" s="170">
        <f>F14+F23+F32+F35+F38+F53+F56+F59+F62+F65+F68+F71+F74+F77+F86+F89+F92+F95+F101+F104+F107+F110+F113+F116+F119+F122+F125+F128</f>
        <v>3752000</v>
      </c>
      <c r="G131" s="170">
        <f t="shared" si="12"/>
        <v>83520975.97999999</v>
      </c>
      <c r="H131" s="170">
        <f t="shared" si="12"/>
        <v>48752000</v>
      </c>
      <c r="I131" s="170">
        <f t="shared" si="12"/>
        <v>32564000</v>
      </c>
      <c r="J131" s="170">
        <f t="shared" si="12"/>
        <v>0</v>
      </c>
      <c r="K131" s="171"/>
      <c r="L131" s="627"/>
      <c r="M131" s="263"/>
    </row>
    <row r="132" spans="1:13" ht="12.75" customHeight="1" thickBot="1">
      <c r="A132" s="218"/>
      <c r="B132" s="219"/>
      <c r="C132" s="220"/>
      <c r="D132" s="221"/>
      <c r="E132" s="299"/>
      <c r="F132" s="220"/>
      <c r="G132" s="220"/>
      <c r="H132" s="220"/>
      <c r="I132" s="220"/>
      <c r="J132" s="222"/>
      <c r="K132" s="172"/>
      <c r="L132" s="627"/>
      <c r="M132" s="1"/>
    </row>
    <row r="133" spans="1:13" ht="16.5" customHeight="1" thickBot="1">
      <c r="A133" s="715" t="s">
        <v>30</v>
      </c>
      <c r="B133" s="715"/>
      <c r="C133" s="715"/>
      <c r="D133" s="715"/>
      <c r="E133" s="715"/>
      <c r="F133" s="715"/>
      <c r="G133" s="715"/>
      <c r="H133" s="715"/>
      <c r="I133" s="715"/>
      <c r="J133" s="715"/>
      <c r="K133" s="173"/>
      <c r="L133" s="627"/>
      <c r="M133" s="1"/>
    </row>
    <row r="134" spans="1:13" s="66" customFormat="1" ht="17.25" customHeight="1" thickBot="1">
      <c r="A134" s="669" t="s">
        <v>174</v>
      </c>
      <c r="B134" s="680" t="s">
        <v>97</v>
      </c>
      <c r="C134" s="203" t="s">
        <v>14</v>
      </c>
      <c r="D134" s="673">
        <f>E134+E135+E136</f>
        <v>45894755.61</v>
      </c>
      <c r="E134" s="279">
        <f aca="true" t="shared" si="13" ref="E134:E148">SUM(F134:J134)</f>
        <v>44845255.61</v>
      </c>
      <c r="F134" s="115">
        <f>100000+11489726.59+933960.56</f>
        <v>12523687.15</v>
      </c>
      <c r="G134" s="115">
        <f>12568687.15+867217.72</f>
        <v>13435904.870000001</v>
      </c>
      <c r="H134" s="115">
        <v>12568687.15</v>
      </c>
      <c r="I134" s="115">
        <f>I137+I140+I143+I146+1757173.98</f>
        <v>2516976.44</v>
      </c>
      <c r="J134" s="117">
        <f>J137+J140+J143+J146</f>
        <v>3800000</v>
      </c>
      <c r="K134" s="118"/>
      <c r="L134" s="627"/>
      <c r="M134" s="262"/>
    </row>
    <row r="135" spans="1:12" s="66" customFormat="1" ht="17.25" customHeight="1" thickBot="1">
      <c r="A135" s="669"/>
      <c r="B135" s="680"/>
      <c r="C135" s="205" t="s">
        <v>16</v>
      </c>
      <c r="D135" s="673"/>
      <c r="E135" s="280">
        <f t="shared" si="13"/>
        <v>1049500</v>
      </c>
      <c r="F135" s="119">
        <f>F138+F141+F144+F147</f>
        <v>0</v>
      </c>
      <c r="G135" s="119">
        <f aca="true" t="shared" si="14" ref="F135:J136">G138+G141+G144+G147</f>
        <v>1049500</v>
      </c>
      <c r="H135" s="119">
        <f t="shared" si="14"/>
        <v>0</v>
      </c>
      <c r="I135" s="119">
        <f t="shared" si="14"/>
        <v>0</v>
      </c>
      <c r="J135" s="121">
        <f t="shared" si="14"/>
        <v>0</v>
      </c>
      <c r="K135" s="122"/>
      <c r="L135" s="627"/>
    </row>
    <row r="136" spans="1:12" s="66" customFormat="1" ht="14.25" customHeight="1" thickBot="1">
      <c r="A136" s="669"/>
      <c r="B136" s="680"/>
      <c r="C136" s="207" t="s">
        <v>17</v>
      </c>
      <c r="D136" s="673"/>
      <c r="E136" s="281">
        <f t="shared" si="13"/>
        <v>0</v>
      </c>
      <c r="F136" s="119">
        <f t="shared" si="14"/>
        <v>0</v>
      </c>
      <c r="G136" s="119">
        <f t="shared" si="14"/>
        <v>0</v>
      </c>
      <c r="H136" s="119">
        <f t="shared" si="14"/>
        <v>0</v>
      </c>
      <c r="I136" s="119">
        <f t="shared" si="14"/>
        <v>0</v>
      </c>
      <c r="J136" s="121">
        <f t="shared" si="14"/>
        <v>0</v>
      </c>
      <c r="K136" s="126"/>
      <c r="L136" s="627"/>
    </row>
    <row r="137" spans="1:12" s="108" customFormat="1" ht="17.25" customHeight="1" hidden="1" thickBot="1">
      <c r="A137" s="711"/>
      <c r="B137" s="712" t="s">
        <v>93</v>
      </c>
      <c r="C137" s="209" t="s">
        <v>14</v>
      </c>
      <c r="D137" s="713">
        <f>E137+E138+E139</f>
        <v>4659802.46</v>
      </c>
      <c r="E137" s="300">
        <f t="shared" si="13"/>
        <v>4659802.46</v>
      </c>
      <c r="F137" s="127">
        <v>100000</v>
      </c>
      <c r="G137" s="127">
        <v>0</v>
      </c>
      <c r="H137" s="158">
        <v>0</v>
      </c>
      <c r="I137" s="127">
        <f>513102.46-5213.03+251913.03</f>
        <v>759802.46</v>
      </c>
      <c r="J137" s="139">
        <v>3800000</v>
      </c>
      <c r="K137" s="140"/>
      <c r="L137" s="627"/>
    </row>
    <row r="138" spans="1:14" s="108" customFormat="1" ht="17.25" customHeight="1" hidden="1" thickBot="1">
      <c r="A138" s="711"/>
      <c r="B138" s="712"/>
      <c r="C138" s="210" t="s">
        <v>16</v>
      </c>
      <c r="D138" s="713"/>
      <c r="E138" s="301">
        <f t="shared" si="13"/>
        <v>0</v>
      </c>
      <c r="F138" s="131">
        <v>0</v>
      </c>
      <c r="G138" s="131">
        <v>0</v>
      </c>
      <c r="H138" s="174">
        <v>0</v>
      </c>
      <c r="I138" s="131">
        <v>0</v>
      </c>
      <c r="J138" s="175">
        <v>0</v>
      </c>
      <c r="K138" s="176"/>
      <c r="L138" s="627"/>
      <c r="N138" s="109"/>
    </row>
    <row r="139" spans="1:12" s="108" customFormat="1" ht="17.25" customHeight="1" hidden="1" thickBot="1">
      <c r="A139" s="711"/>
      <c r="B139" s="712"/>
      <c r="C139" s="211" t="s">
        <v>17</v>
      </c>
      <c r="D139" s="713"/>
      <c r="E139" s="302">
        <f t="shared" si="13"/>
        <v>0</v>
      </c>
      <c r="F139" s="135">
        <v>0</v>
      </c>
      <c r="G139" s="135">
        <v>0</v>
      </c>
      <c r="H139" s="114">
        <v>0</v>
      </c>
      <c r="I139" s="135">
        <v>0</v>
      </c>
      <c r="J139" s="177">
        <v>0</v>
      </c>
      <c r="K139" s="178"/>
      <c r="L139" s="627"/>
    </row>
    <row r="140" spans="1:12" s="108" customFormat="1" ht="17.25" customHeight="1" hidden="1" thickBot="1">
      <c r="A140" s="711"/>
      <c r="B140" s="712" t="s">
        <v>94</v>
      </c>
      <c r="C140" s="209" t="s">
        <v>14</v>
      </c>
      <c r="D140" s="714">
        <f>E140+E141+E142</f>
        <v>25975131.46</v>
      </c>
      <c r="E140" s="300">
        <f t="shared" si="13"/>
        <v>24925631.46</v>
      </c>
      <c r="F140" s="127">
        <v>11489726.59</v>
      </c>
      <c r="G140" s="158">
        <v>13435904.87</v>
      </c>
      <c r="H140" s="158">
        <v>0</v>
      </c>
      <c r="I140" s="127">
        <v>0</v>
      </c>
      <c r="J140" s="139">
        <v>0</v>
      </c>
      <c r="K140" s="140"/>
      <c r="L140" s="627"/>
    </row>
    <row r="141" spans="1:12" s="108" customFormat="1" ht="17.25" customHeight="1" hidden="1" thickBot="1">
      <c r="A141" s="711"/>
      <c r="B141" s="712"/>
      <c r="C141" s="210" t="s">
        <v>16</v>
      </c>
      <c r="D141" s="714"/>
      <c r="E141" s="301">
        <f t="shared" si="13"/>
        <v>1049500</v>
      </c>
      <c r="F141" s="131">
        <v>0</v>
      </c>
      <c r="G141" s="174">
        <v>1049500</v>
      </c>
      <c r="H141" s="174">
        <v>0</v>
      </c>
      <c r="I141" s="131">
        <v>0</v>
      </c>
      <c r="J141" s="175">
        <v>0</v>
      </c>
      <c r="K141" s="176"/>
      <c r="L141" s="627"/>
    </row>
    <row r="142" spans="1:12" s="108" customFormat="1" ht="17.25" customHeight="1" hidden="1" thickBot="1">
      <c r="A142" s="711"/>
      <c r="B142" s="712"/>
      <c r="C142" s="211" t="s">
        <v>17</v>
      </c>
      <c r="D142" s="714"/>
      <c r="E142" s="302">
        <f t="shared" si="13"/>
        <v>0</v>
      </c>
      <c r="F142" s="135">
        <v>0</v>
      </c>
      <c r="G142" s="135">
        <v>0</v>
      </c>
      <c r="H142" s="114">
        <v>0</v>
      </c>
      <c r="I142" s="135">
        <v>0</v>
      </c>
      <c r="J142" s="177">
        <v>0</v>
      </c>
      <c r="K142" s="178"/>
      <c r="L142" s="627"/>
    </row>
    <row r="143" spans="1:12" s="108" customFormat="1" ht="17.25" customHeight="1" hidden="1" thickBot="1">
      <c r="A143" s="711"/>
      <c r="B143" s="712" t="s">
        <v>95</v>
      </c>
      <c r="C143" s="209" t="s">
        <v>14</v>
      </c>
      <c r="D143" s="713">
        <f>E143+E144+E145</f>
        <v>0</v>
      </c>
      <c r="E143" s="301">
        <f t="shared" si="13"/>
        <v>0</v>
      </c>
      <c r="F143" s="127">
        <v>0</v>
      </c>
      <c r="G143" s="127">
        <v>0</v>
      </c>
      <c r="H143" s="158">
        <v>0</v>
      </c>
      <c r="I143" s="127">
        <v>0</v>
      </c>
      <c r="J143" s="139">
        <v>0</v>
      </c>
      <c r="K143" s="140"/>
      <c r="L143" s="627"/>
    </row>
    <row r="144" spans="1:12" s="108" customFormat="1" ht="17.25" customHeight="1" hidden="1" thickBot="1">
      <c r="A144" s="711"/>
      <c r="B144" s="712"/>
      <c r="C144" s="210" t="s">
        <v>16</v>
      </c>
      <c r="D144" s="713"/>
      <c r="E144" s="301">
        <f t="shared" si="13"/>
        <v>0</v>
      </c>
      <c r="F144" s="131">
        <v>0</v>
      </c>
      <c r="G144" s="131">
        <v>0</v>
      </c>
      <c r="H144" s="131">
        <v>0</v>
      </c>
      <c r="I144" s="131">
        <v>0</v>
      </c>
      <c r="J144" s="175">
        <v>0</v>
      </c>
      <c r="K144" s="176"/>
      <c r="L144" s="627"/>
    </row>
    <row r="145" spans="1:12" s="108" customFormat="1" ht="17.25" customHeight="1" hidden="1" thickBot="1">
      <c r="A145" s="711"/>
      <c r="B145" s="712"/>
      <c r="C145" s="211" t="s">
        <v>17</v>
      </c>
      <c r="D145" s="713"/>
      <c r="E145" s="301">
        <f t="shared" si="13"/>
        <v>0</v>
      </c>
      <c r="F145" s="135">
        <v>0</v>
      </c>
      <c r="G145" s="135">
        <v>0</v>
      </c>
      <c r="H145" s="135">
        <v>0</v>
      </c>
      <c r="I145" s="135">
        <v>0</v>
      </c>
      <c r="J145" s="177">
        <v>0</v>
      </c>
      <c r="K145" s="178"/>
      <c r="L145" s="627"/>
    </row>
    <row r="146" spans="1:12" s="108" customFormat="1" ht="17.25" customHeight="1" hidden="1" thickBot="1">
      <c r="A146" s="711"/>
      <c r="B146" s="712" t="s">
        <v>96</v>
      </c>
      <c r="C146" s="209" t="s">
        <v>14</v>
      </c>
      <c r="D146" s="713">
        <f>E146+E147+E148</f>
        <v>0</v>
      </c>
      <c r="E146" s="300">
        <f t="shared" si="13"/>
        <v>0</v>
      </c>
      <c r="F146" s="127">
        <v>0</v>
      </c>
      <c r="G146" s="127">
        <v>0</v>
      </c>
      <c r="H146" s="127">
        <v>0</v>
      </c>
      <c r="I146" s="127">
        <v>0</v>
      </c>
      <c r="J146" s="139">
        <v>0</v>
      </c>
      <c r="K146" s="140"/>
      <c r="L146" s="627"/>
    </row>
    <row r="147" spans="1:12" s="108" customFormat="1" ht="17.25" customHeight="1" hidden="1" thickBot="1">
      <c r="A147" s="711"/>
      <c r="B147" s="712"/>
      <c r="C147" s="210" t="s">
        <v>16</v>
      </c>
      <c r="D147" s="713"/>
      <c r="E147" s="301">
        <f t="shared" si="13"/>
        <v>0</v>
      </c>
      <c r="F147" s="131">
        <v>0</v>
      </c>
      <c r="G147" s="131">
        <v>0</v>
      </c>
      <c r="H147" s="131">
        <v>0</v>
      </c>
      <c r="I147" s="131">
        <v>0</v>
      </c>
      <c r="J147" s="175">
        <v>0</v>
      </c>
      <c r="K147" s="176"/>
      <c r="L147" s="627"/>
    </row>
    <row r="148" spans="1:12" s="108" customFormat="1" ht="17.25" customHeight="1" hidden="1" thickBot="1">
      <c r="A148" s="711"/>
      <c r="B148" s="712"/>
      <c r="C148" s="211" t="s">
        <v>17</v>
      </c>
      <c r="D148" s="713"/>
      <c r="E148" s="302">
        <f t="shared" si="13"/>
        <v>0</v>
      </c>
      <c r="F148" s="135">
        <v>0</v>
      </c>
      <c r="G148" s="135">
        <v>0</v>
      </c>
      <c r="H148" s="135">
        <v>0</v>
      </c>
      <c r="I148" s="135">
        <v>0</v>
      </c>
      <c r="J148" s="177">
        <v>0</v>
      </c>
      <c r="K148" s="178"/>
      <c r="L148" s="627"/>
    </row>
    <row r="149" spans="1:12" s="66" customFormat="1" ht="17.25" customHeight="1" thickBot="1">
      <c r="A149" s="705"/>
      <c r="B149" s="706" t="s">
        <v>47</v>
      </c>
      <c r="C149" s="215" t="s">
        <v>14</v>
      </c>
      <c r="D149" s="707"/>
      <c r="E149" s="296">
        <f aca="true" t="shared" si="15" ref="E149:J149">E134</f>
        <v>44845255.61</v>
      </c>
      <c r="F149" s="164">
        <f t="shared" si="15"/>
        <v>12523687.15</v>
      </c>
      <c r="G149" s="164">
        <f t="shared" si="15"/>
        <v>13435904.870000001</v>
      </c>
      <c r="H149" s="164">
        <f t="shared" si="15"/>
        <v>12568687.15</v>
      </c>
      <c r="I149" s="164">
        <f t="shared" si="15"/>
        <v>2516976.44</v>
      </c>
      <c r="J149" s="165">
        <f t="shared" si="15"/>
        <v>3800000</v>
      </c>
      <c r="K149" s="166"/>
      <c r="L149" s="627"/>
    </row>
    <row r="150" spans="1:12" s="66" customFormat="1" ht="17.25" customHeight="1" thickBot="1">
      <c r="A150" s="705"/>
      <c r="B150" s="706"/>
      <c r="C150" s="216" t="s">
        <v>16</v>
      </c>
      <c r="D150" s="707"/>
      <c r="E150" s="297">
        <f aca="true" t="shared" si="16" ref="E150:J151">E135</f>
        <v>1049500</v>
      </c>
      <c r="F150" s="167">
        <f t="shared" si="16"/>
        <v>0</v>
      </c>
      <c r="G150" s="167">
        <f t="shared" si="16"/>
        <v>1049500</v>
      </c>
      <c r="H150" s="167">
        <f t="shared" si="16"/>
        <v>0</v>
      </c>
      <c r="I150" s="167">
        <f t="shared" si="16"/>
        <v>0</v>
      </c>
      <c r="J150" s="168">
        <f t="shared" si="16"/>
        <v>0</v>
      </c>
      <c r="K150" s="169"/>
      <c r="L150" s="627"/>
    </row>
    <row r="151" spans="1:12" s="66" customFormat="1" ht="16.5" customHeight="1" thickBot="1">
      <c r="A151" s="705"/>
      <c r="B151" s="706"/>
      <c r="C151" s="217" t="s">
        <v>17</v>
      </c>
      <c r="D151" s="707"/>
      <c r="E151" s="298">
        <f t="shared" si="16"/>
        <v>0</v>
      </c>
      <c r="F151" s="170">
        <f t="shared" si="16"/>
        <v>0</v>
      </c>
      <c r="G151" s="170">
        <f t="shared" si="16"/>
        <v>0</v>
      </c>
      <c r="H151" s="170">
        <f t="shared" si="16"/>
        <v>0</v>
      </c>
      <c r="I151" s="170">
        <f t="shared" si="16"/>
        <v>0</v>
      </c>
      <c r="J151" s="170">
        <f t="shared" si="16"/>
        <v>0</v>
      </c>
      <c r="K151" s="171"/>
      <c r="L151" s="627"/>
    </row>
    <row r="152" spans="1:12" ht="17.25" customHeight="1" hidden="1" thickBot="1">
      <c r="A152" s="708"/>
      <c r="B152" s="709"/>
      <c r="C152" s="223"/>
      <c r="D152" s="710"/>
      <c r="E152" s="223"/>
      <c r="F152" s="223"/>
      <c r="G152" s="223"/>
      <c r="H152" s="223"/>
      <c r="I152" s="223"/>
      <c r="J152" s="223"/>
      <c r="K152" s="179"/>
      <c r="L152" s="627"/>
    </row>
    <row r="153" spans="1:12" ht="17.25" customHeight="1" hidden="1" thickBot="1">
      <c r="A153" s="708"/>
      <c r="B153" s="709"/>
      <c r="C153" s="224"/>
      <c r="D153" s="710"/>
      <c r="E153" s="224"/>
      <c r="F153" s="224"/>
      <c r="G153" s="224"/>
      <c r="H153" s="224"/>
      <c r="I153" s="224"/>
      <c r="J153" s="224"/>
      <c r="K153" s="179"/>
      <c r="L153" s="627"/>
    </row>
    <row r="154" spans="1:12" ht="17.25" customHeight="1" hidden="1">
      <c r="A154" s="708"/>
      <c r="B154" s="709"/>
      <c r="C154" s="225"/>
      <c r="D154" s="710"/>
      <c r="E154" s="225"/>
      <c r="F154" s="225"/>
      <c r="G154" s="225"/>
      <c r="H154" s="225"/>
      <c r="I154" s="225"/>
      <c r="J154" s="225"/>
      <c r="K154" s="180"/>
      <c r="L154" s="627"/>
    </row>
    <row r="155" spans="1:12" ht="17.25" customHeight="1" hidden="1">
      <c r="A155" s="226"/>
      <c r="B155" s="227"/>
      <c r="C155" s="224"/>
      <c r="D155" s="228"/>
      <c r="E155" s="224"/>
      <c r="F155" s="224"/>
      <c r="G155" s="224"/>
      <c r="H155" s="224"/>
      <c r="I155" s="224"/>
      <c r="J155" s="224"/>
      <c r="K155" s="179"/>
      <c r="L155" s="627"/>
    </row>
    <row r="156" spans="1:12" ht="18" customHeight="1" thickBot="1">
      <c r="A156" s="704" t="s">
        <v>48</v>
      </c>
      <c r="B156" s="704"/>
      <c r="C156" s="704"/>
      <c r="D156" s="704"/>
      <c r="E156" s="704"/>
      <c r="F156" s="704"/>
      <c r="G156" s="704"/>
      <c r="H156" s="704"/>
      <c r="I156" s="704"/>
      <c r="J156" s="704"/>
      <c r="K156" s="181"/>
      <c r="L156" s="627"/>
    </row>
    <row r="157" spans="1:12" ht="15" customHeight="1" thickBot="1">
      <c r="A157" s="669" t="s">
        <v>175</v>
      </c>
      <c r="B157" s="680" t="s">
        <v>49</v>
      </c>
      <c r="C157" s="203" t="s">
        <v>14</v>
      </c>
      <c r="D157" s="692">
        <v>450000</v>
      </c>
      <c r="E157" s="303">
        <f aca="true" t="shared" si="17" ref="E157:E185">SUM(F157:J157)</f>
        <v>45899.6</v>
      </c>
      <c r="F157" s="119">
        <f>45000+899.6</f>
        <v>45899.6</v>
      </c>
      <c r="G157" s="203">
        <v>0</v>
      </c>
      <c r="H157" s="203">
        <v>0</v>
      </c>
      <c r="I157" s="203">
        <v>0</v>
      </c>
      <c r="J157" s="204">
        <v>0</v>
      </c>
      <c r="K157" s="667" t="s">
        <v>129</v>
      </c>
      <c r="L157" s="627"/>
    </row>
    <row r="158" spans="1:12" ht="15" customHeight="1" thickBot="1">
      <c r="A158" s="669"/>
      <c r="B158" s="680"/>
      <c r="C158" s="205" t="s">
        <v>16</v>
      </c>
      <c r="D158" s="692"/>
      <c r="E158" s="304">
        <f t="shared" si="17"/>
        <v>405000</v>
      </c>
      <c r="F158" s="119">
        <f>405000</f>
        <v>405000</v>
      </c>
      <c r="G158" s="205">
        <v>0</v>
      </c>
      <c r="H158" s="205">
        <v>0</v>
      </c>
      <c r="I158" s="205">
        <v>0</v>
      </c>
      <c r="J158" s="206">
        <v>0</v>
      </c>
      <c r="K158" s="733"/>
      <c r="L158" s="627"/>
    </row>
    <row r="159" spans="1:12" ht="15" customHeight="1" thickBot="1">
      <c r="A159" s="669"/>
      <c r="B159" s="680"/>
      <c r="C159" s="207" t="s">
        <v>17</v>
      </c>
      <c r="D159" s="692"/>
      <c r="E159" s="304">
        <v>0</v>
      </c>
      <c r="F159" s="123">
        <v>0</v>
      </c>
      <c r="G159" s="207" t="s">
        <v>182</v>
      </c>
      <c r="H159" s="207">
        <v>0</v>
      </c>
      <c r="I159" s="207">
        <v>0</v>
      </c>
      <c r="J159" s="208">
        <v>0</v>
      </c>
      <c r="K159" s="733"/>
      <c r="L159" s="627"/>
    </row>
    <row r="160" spans="1:12" ht="15" customHeight="1" thickBot="1">
      <c r="A160" s="669" t="s">
        <v>176</v>
      </c>
      <c r="B160" s="680" t="s">
        <v>130</v>
      </c>
      <c r="C160" s="203" t="s">
        <v>14</v>
      </c>
      <c r="D160" s="692">
        <f>D163+D166+D169+D172+D175+D178</f>
        <v>41563500</v>
      </c>
      <c r="E160" s="305">
        <f t="shared" si="17"/>
        <v>0</v>
      </c>
      <c r="F160" s="203">
        <f aca="true" t="shared" si="18" ref="F160:J162">F163+F166+F169+F172+F175+F178</f>
        <v>0</v>
      </c>
      <c r="G160" s="203">
        <f t="shared" si="18"/>
        <v>0</v>
      </c>
      <c r="H160" s="203">
        <f t="shared" si="18"/>
        <v>0</v>
      </c>
      <c r="I160" s="203">
        <f t="shared" si="18"/>
        <v>0</v>
      </c>
      <c r="J160" s="204">
        <f t="shared" si="18"/>
        <v>0</v>
      </c>
      <c r="K160" s="733"/>
      <c r="L160" s="627"/>
    </row>
    <row r="161" spans="1:12" ht="15" customHeight="1" thickBot="1">
      <c r="A161" s="669"/>
      <c r="B161" s="680"/>
      <c r="C161" s="205" t="s">
        <v>16</v>
      </c>
      <c r="D161" s="692"/>
      <c r="E161" s="306">
        <f t="shared" si="17"/>
        <v>0</v>
      </c>
      <c r="F161" s="205">
        <f t="shared" si="18"/>
        <v>0</v>
      </c>
      <c r="G161" s="205">
        <f t="shared" si="18"/>
        <v>0</v>
      </c>
      <c r="H161" s="205">
        <f t="shared" si="18"/>
        <v>0</v>
      </c>
      <c r="I161" s="205">
        <f t="shared" si="18"/>
        <v>0</v>
      </c>
      <c r="J161" s="205">
        <f t="shared" si="18"/>
        <v>0</v>
      </c>
      <c r="K161" s="733"/>
      <c r="L161" s="627"/>
    </row>
    <row r="162" spans="1:12" ht="15" customHeight="1" thickBot="1">
      <c r="A162" s="669"/>
      <c r="B162" s="680"/>
      <c r="C162" s="207" t="s">
        <v>17</v>
      </c>
      <c r="D162" s="692"/>
      <c r="E162" s="307">
        <f t="shared" si="17"/>
        <v>0</v>
      </c>
      <c r="F162" s="207">
        <f t="shared" si="18"/>
        <v>0</v>
      </c>
      <c r="G162" s="207">
        <f t="shared" si="18"/>
        <v>0</v>
      </c>
      <c r="H162" s="207">
        <f t="shared" si="18"/>
        <v>0</v>
      </c>
      <c r="I162" s="207">
        <f t="shared" si="18"/>
        <v>0</v>
      </c>
      <c r="J162" s="207">
        <f t="shared" si="18"/>
        <v>0</v>
      </c>
      <c r="K162" s="733"/>
      <c r="L162" s="627"/>
    </row>
    <row r="163" spans="1:12" ht="13.5" customHeight="1" hidden="1" thickBot="1">
      <c r="A163" s="694"/>
      <c r="B163" s="694" t="s">
        <v>98</v>
      </c>
      <c r="C163" s="229" t="s">
        <v>14</v>
      </c>
      <c r="D163" s="703">
        <v>2601500</v>
      </c>
      <c r="E163" s="308">
        <f t="shared" si="17"/>
        <v>0</v>
      </c>
      <c r="F163" s="229">
        <v>0</v>
      </c>
      <c r="G163" s="212">
        <v>0</v>
      </c>
      <c r="H163" s="229">
        <v>0</v>
      </c>
      <c r="I163" s="229">
        <v>0</v>
      </c>
      <c r="J163" s="230">
        <v>0</v>
      </c>
      <c r="K163" s="733"/>
      <c r="L163" s="627"/>
    </row>
    <row r="164" spans="1:12" ht="13.5" customHeight="1" hidden="1" thickBot="1">
      <c r="A164" s="694"/>
      <c r="B164" s="694"/>
      <c r="C164" s="231" t="s">
        <v>16</v>
      </c>
      <c r="D164" s="703"/>
      <c r="E164" s="309">
        <f t="shared" si="17"/>
        <v>0</v>
      </c>
      <c r="F164" s="231">
        <v>0</v>
      </c>
      <c r="G164" s="213">
        <v>0</v>
      </c>
      <c r="H164" s="231">
        <v>0</v>
      </c>
      <c r="I164" s="231">
        <v>0</v>
      </c>
      <c r="J164" s="232">
        <v>0</v>
      </c>
      <c r="K164" s="733"/>
      <c r="L164" s="627"/>
    </row>
    <row r="165" spans="1:12" ht="13.5" customHeight="1" hidden="1" thickBot="1">
      <c r="A165" s="694"/>
      <c r="B165" s="694"/>
      <c r="C165" s="233" t="s">
        <v>17</v>
      </c>
      <c r="D165" s="703"/>
      <c r="E165" s="310">
        <f t="shared" si="17"/>
        <v>0</v>
      </c>
      <c r="F165" s="233">
        <v>0</v>
      </c>
      <c r="G165" s="233" t="s">
        <v>182</v>
      </c>
      <c r="H165" s="233">
        <v>0</v>
      </c>
      <c r="I165" s="233">
        <v>0</v>
      </c>
      <c r="J165" s="234">
        <v>0</v>
      </c>
      <c r="K165" s="733"/>
      <c r="L165" s="627"/>
    </row>
    <row r="166" spans="1:12" ht="13.5" customHeight="1" hidden="1" thickBot="1">
      <c r="A166" s="694"/>
      <c r="B166" s="694" t="s">
        <v>99</v>
      </c>
      <c r="C166" s="229" t="s">
        <v>14</v>
      </c>
      <c r="D166" s="696" t="s">
        <v>145</v>
      </c>
      <c r="E166" s="308">
        <f t="shared" si="17"/>
        <v>0</v>
      </c>
      <c r="F166" s="229">
        <v>0</v>
      </c>
      <c r="G166" s="229">
        <v>0</v>
      </c>
      <c r="H166" s="229">
        <v>0</v>
      </c>
      <c r="I166" s="229">
        <v>0</v>
      </c>
      <c r="J166" s="230">
        <v>0</v>
      </c>
      <c r="K166" s="733"/>
      <c r="L166" s="627"/>
    </row>
    <row r="167" spans="1:12" ht="13.5" customHeight="1" hidden="1" thickBot="1">
      <c r="A167" s="694"/>
      <c r="B167" s="694"/>
      <c r="C167" s="231" t="s">
        <v>16</v>
      </c>
      <c r="D167" s="696"/>
      <c r="E167" s="309">
        <f t="shared" si="17"/>
        <v>0</v>
      </c>
      <c r="F167" s="231">
        <v>0</v>
      </c>
      <c r="G167" s="231">
        <v>0</v>
      </c>
      <c r="H167" s="231">
        <v>0</v>
      </c>
      <c r="I167" s="231">
        <v>0</v>
      </c>
      <c r="J167" s="232">
        <v>0</v>
      </c>
      <c r="K167" s="733"/>
      <c r="L167" s="627"/>
    </row>
    <row r="168" spans="1:12" ht="13.5" customHeight="1" hidden="1" thickBot="1">
      <c r="A168" s="694"/>
      <c r="B168" s="694"/>
      <c r="C168" s="233" t="s">
        <v>17</v>
      </c>
      <c r="D168" s="696"/>
      <c r="E168" s="311">
        <f t="shared" si="17"/>
        <v>0</v>
      </c>
      <c r="F168" s="233">
        <v>0</v>
      </c>
      <c r="G168" s="233">
        <v>0</v>
      </c>
      <c r="H168" s="233">
        <v>0</v>
      </c>
      <c r="I168" s="233">
        <v>0</v>
      </c>
      <c r="J168" s="234">
        <v>0</v>
      </c>
      <c r="K168" s="733"/>
      <c r="L168" s="627"/>
    </row>
    <row r="169" spans="1:12" ht="13.5" customHeight="1" hidden="1" thickBot="1">
      <c r="A169" s="694"/>
      <c r="B169" s="694" t="s">
        <v>100</v>
      </c>
      <c r="C169" s="229" t="s">
        <v>14</v>
      </c>
      <c r="D169" s="696" t="s">
        <v>144</v>
      </c>
      <c r="E169" s="308">
        <f t="shared" si="17"/>
        <v>0</v>
      </c>
      <c r="F169" s="229">
        <v>0</v>
      </c>
      <c r="G169" s="229">
        <v>0</v>
      </c>
      <c r="H169" s="229">
        <v>0</v>
      </c>
      <c r="I169" s="229">
        <v>0</v>
      </c>
      <c r="J169" s="230">
        <v>0</v>
      </c>
      <c r="K169" s="733"/>
      <c r="L169" s="627"/>
    </row>
    <row r="170" spans="1:12" ht="13.5" customHeight="1" hidden="1" thickBot="1">
      <c r="A170" s="694"/>
      <c r="B170" s="694"/>
      <c r="C170" s="231" t="s">
        <v>16</v>
      </c>
      <c r="D170" s="696"/>
      <c r="E170" s="309">
        <f t="shared" si="17"/>
        <v>0</v>
      </c>
      <c r="F170" s="231">
        <v>0</v>
      </c>
      <c r="G170" s="231">
        <v>0</v>
      </c>
      <c r="H170" s="231">
        <v>0</v>
      </c>
      <c r="I170" s="231">
        <v>0</v>
      </c>
      <c r="J170" s="232">
        <v>0</v>
      </c>
      <c r="K170" s="733"/>
      <c r="L170" s="627"/>
    </row>
    <row r="171" spans="1:12" ht="12" customHeight="1" hidden="1" thickBot="1">
      <c r="A171" s="694"/>
      <c r="B171" s="694"/>
      <c r="C171" s="233" t="s">
        <v>17</v>
      </c>
      <c r="D171" s="696"/>
      <c r="E171" s="311">
        <f t="shared" si="17"/>
        <v>0</v>
      </c>
      <c r="F171" s="233">
        <v>0</v>
      </c>
      <c r="G171" s="233">
        <v>0</v>
      </c>
      <c r="H171" s="233">
        <v>0</v>
      </c>
      <c r="I171" s="233">
        <v>0</v>
      </c>
      <c r="J171" s="234">
        <v>0</v>
      </c>
      <c r="K171" s="733"/>
      <c r="L171" s="627"/>
    </row>
    <row r="172" spans="1:13" ht="13.5" customHeight="1" hidden="1" thickBot="1">
      <c r="A172" s="694"/>
      <c r="B172" s="694" t="s">
        <v>103</v>
      </c>
      <c r="C172" s="229" t="s">
        <v>14</v>
      </c>
      <c r="D172" s="695" t="s">
        <v>143</v>
      </c>
      <c r="E172" s="308">
        <f t="shared" si="17"/>
        <v>0</v>
      </c>
      <c r="F172" s="229">
        <v>0</v>
      </c>
      <c r="G172" s="212">
        <v>0</v>
      </c>
      <c r="H172" s="212">
        <v>0</v>
      </c>
      <c r="I172" s="229">
        <v>0</v>
      </c>
      <c r="J172" s="230">
        <v>0</v>
      </c>
      <c r="K172" s="733"/>
      <c r="L172" s="627"/>
      <c r="M172" s="49"/>
    </row>
    <row r="173" spans="1:13" ht="13.5" customHeight="1" hidden="1" thickBot="1">
      <c r="A173" s="694"/>
      <c r="B173" s="694"/>
      <c r="C173" s="231" t="s">
        <v>16</v>
      </c>
      <c r="D173" s="695"/>
      <c r="E173" s="309">
        <f t="shared" si="17"/>
        <v>0</v>
      </c>
      <c r="F173" s="231">
        <v>0</v>
      </c>
      <c r="G173" s="213">
        <v>0</v>
      </c>
      <c r="H173" s="213">
        <v>0</v>
      </c>
      <c r="I173" s="231">
        <v>0</v>
      </c>
      <c r="J173" s="232">
        <v>0</v>
      </c>
      <c r="K173" s="733"/>
      <c r="L173" s="627"/>
      <c r="M173" s="49"/>
    </row>
    <row r="174" spans="1:12" ht="13.5" customHeight="1" hidden="1" thickBot="1">
      <c r="A174" s="694"/>
      <c r="B174" s="694"/>
      <c r="C174" s="233" t="s">
        <v>17</v>
      </c>
      <c r="D174" s="695"/>
      <c r="E174" s="311">
        <f t="shared" si="17"/>
        <v>0</v>
      </c>
      <c r="F174" s="233">
        <v>0</v>
      </c>
      <c r="G174" s="214">
        <v>0</v>
      </c>
      <c r="H174" s="214">
        <v>0</v>
      </c>
      <c r="I174" s="233">
        <v>0</v>
      </c>
      <c r="J174" s="234">
        <v>0</v>
      </c>
      <c r="K174" s="733"/>
      <c r="L174" s="627"/>
    </row>
    <row r="175" spans="1:12" ht="13.5" customHeight="1" hidden="1" thickBot="1">
      <c r="A175" s="694"/>
      <c r="B175" s="694" t="s">
        <v>101</v>
      </c>
      <c r="C175" s="229" t="s">
        <v>14</v>
      </c>
      <c r="D175" s="695" t="s">
        <v>142</v>
      </c>
      <c r="E175" s="308">
        <f t="shared" si="17"/>
        <v>0</v>
      </c>
      <c r="F175" s="229">
        <v>0</v>
      </c>
      <c r="G175" s="229">
        <v>0</v>
      </c>
      <c r="H175" s="212">
        <v>0</v>
      </c>
      <c r="I175" s="212">
        <v>0</v>
      </c>
      <c r="J175" s="230" t="s">
        <v>156</v>
      </c>
      <c r="K175" s="733"/>
      <c r="L175" s="627"/>
    </row>
    <row r="176" spans="1:12" ht="13.5" customHeight="1" hidden="1" thickBot="1">
      <c r="A176" s="694"/>
      <c r="B176" s="694"/>
      <c r="C176" s="231" t="s">
        <v>16</v>
      </c>
      <c r="D176" s="695"/>
      <c r="E176" s="309">
        <f t="shared" si="17"/>
        <v>0</v>
      </c>
      <c r="F176" s="231">
        <v>0</v>
      </c>
      <c r="G176" s="231">
        <v>0</v>
      </c>
      <c r="H176" s="231">
        <v>0</v>
      </c>
      <c r="I176" s="231">
        <v>0</v>
      </c>
      <c r="J176" s="232">
        <v>0</v>
      </c>
      <c r="K176" s="733"/>
      <c r="L176" s="627"/>
    </row>
    <row r="177" spans="1:12" ht="13.5" customHeight="1" hidden="1" thickBot="1">
      <c r="A177" s="694"/>
      <c r="B177" s="694"/>
      <c r="C177" s="233" t="s">
        <v>17</v>
      </c>
      <c r="D177" s="695"/>
      <c r="E177" s="311">
        <f t="shared" si="17"/>
        <v>0</v>
      </c>
      <c r="F177" s="233">
        <v>0</v>
      </c>
      <c r="G177" s="233">
        <v>0</v>
      </c>
      <c r="H177" s="233">
        <v>0</v>
      </c>
      <c r="I177" s="233">
        <v>0</v>
      </c>
      <c r="J177" s="234">
        <v>0</v>
      </c>
      <c r="K177" s="733"/>
      <c r="L177" s="627"/>
    </row>
    <row r="178" spans="1:14" ht="13.5" customHeight="1" hidden="1" thickBot="1">
      <c r="A178" s="694"/>
      <c r="B178" s="694" t="s">
        <v>102</v>
      </c>
      <c r="C178" s="229" t="s">
        <v>14</v>
      </c>
      <c r="D178" s="695">
        <f>E178+E179+E180</f>
        <v>0</v>
      </c>
      <c r="E178" s="308">
        <f t="shared" si="17"/>
        <v>0</v>
      </c>
      <c r="F178" s="229">
        <v>0</v>
      </c>
      <c r="G178" s="229">
        <v>0</v>
      </c>
      <c r="H178" s="229">
        <v>0</v>
      </c>
      <c r="I178" s="229">
        <v>0</v>
      </c>
      <c r="J178" s="230">
        <v>0</v>
      </c>
      <c r="K178" s="733"/>
      <c r="L178" s="627"/>
      <c r="N178" s="49"/>
    </row>
    <row r="179" spans="1:12" ht="13.5" customHeight="1" hidden="1" thickBot="1">
      <c r="A179" s="694"/>
      <c r="B179" s="694"/>
      <c r="C179" s="231" t="s">
        <v>16</v>
      </c>
      <c r="D179" s="695"/>
      <c r="E179" s="309">
        <f t="shared" si="17"/>
        <v>0</v>
      </c>
      <c r="F179" s="231">
        <v>0</v>
      </c>
      <c r="G179" s="231">
        <v>0</v>
      </c>
      <c r="H179" s="231">
        <v>0</v>
      </c>
      <c r="I179" s="231">
        <v>0</v>
      </c>
      <c r="J179" s="232">
        <v>0</v>
      </c>
      <c r="K179" s="733"/>
      <c r="L179" s="627"/>
    </row>
    <row r="180" spans="1:12" ht="13.5" customHeight="1" hidden="1" thickBot="1">
      <c r="A180" s="694"/>
      <c r="B180" s="694"/>
      <c r="C180" s="233" t="s">
        <v>17</v>
      </c>
      <c r="D180" s="695"/>
      <c r="E180" s="311">
        <f t="shared" si="17"/>
        <v>0</v>
      </c>
      <c r="F180" s="233">
        <v>0</v>
      </c>
      <c r="G180" s="233">
        <v>0</v>
      </c>
      <c r="H180" s="233">
        <v>0</v>
      </c>
      <c r="I180" s="233">
        <v>0</v>
      </c>
      <c r="J180" s="234">
        <v>0</v>
      </c>
      <c r="K180" s="733"/>
      <c r="L180" s="627"/>
    </row>
    <row r="181" spans="1:12" ht="13.5" customHeight="1" thickBot="1">
      <c r="A181" s="674" t="s">
        <v>177</v>
      </c>
      <c r="B181" s="680" t="s">
        <v>131</v>
      </c>
      <c r="C181" s="203" t="s">
        <v>14</v>
      </c>
      <c r="D181" s="692">
        <f>D184+D187+D190</f>
        <v>4244000</v>
      </c>
      <c r="E181" s="305">
        <f t="shared" si="17"/>
        <v>0</v>
      </c>
      <c r="F181" s="203">
        <f>F184+F187+F190</f>
        <v>0</v>
      </c>
      <c r="G181" s="203">
        <f>G184+G187+G190</f>
        <v>0</v>
      </c>
      <c r="H181" s="203">
        <f>H184+H187+H190</f>
        <v>0</v>
      </c>
      <c r="I181" s="203">
        <f>I184+I187+I190</f>
        <v>0</v>
      </c>
      <c r="J181" s="204">
        <f>J184+J187+J190</f>
        <v>0</v>
      </c>
      <c r="K181" s="733"/>
      <c r="L181" s="627"/>
    </row>
    <row r="182" spans="1:12" ht="13.5" thickBot="1">
      <c r="A182" s="675"/>
      <c r="B182" s="680"/>
      <c r="C182" s="205" t="s">
        <v>16</v>
      </c>
      <c r="D182" s="692"/>
      <c r="E182" s="306">
        <f t="shared" si="17"/>
        <v>0</v>
      </c>
      <c r="F182" s="205">
        <f>F185+F188+F191</f>
        <v>0</v>
      </c>
      <c r="G182" s="205">
        <f aca="true" t="shared" si="19" ref="G182:J183">G185+G188+G191</f>
        <v>0</v>
      </c>
      <c r="H182" s="205">
        <f t="shared" si="19"/>
        <v>0</v>
      </c>
      <c r="I182" s="205">
        <f t="shared" si="19"/>
        <v>0</v>
      </c>
      <c r="J182" s="206">
        <f t="shared" si="19"/>
        <v>0</v>
      </c>
      <c r="K182" s="733"/>
      <c r="L182" s="627"/>
    </row>
    <row r="183" spans="1:12" ht="20.25" customHeight="1" thickBot="1">
      <c r="A183" s="676"/>
      <c r="B183" s="680"/>
      <c r="C183" s="207" t="s">
        <v>17</v>
      </c>
      <c r="D183" s="692"/>
      <c r="E183" s="307">
        <f t="shared" si="17"/>
        <v>0</v>
      </c>
      <c r="F183" s="207">
        <f>F186+F189+F192</f>
        <v>0</v>
      </c>
      <c r="G183" s="207">
        <f t="shared" si="19"/>
        <v>0</v>
      </c>
      <c r="H183" s="207">
        <f t="shared" si="19"/>
        <v>0</v>
      </c>
      <c r="I183" s="207">
        <f t="shared" si="19"/>
        <v>0</v>
      </c>
      <c r="J183" s="208">
        <f t="shared" si="19"/>
        <v>0</v>
      </c>
      <c r="K183" s="733"/>
      <c r="L183" s="627"/>
    </row>
    <row r="184" spans="1:12" ht="13.5" customHeight="1" hidden="1" thickBot="1">
      <c r="A184" s="697"/>
      <c r="B184" s="694" t="s">
        <v>108</v>
      </c>
      <c r="C184" s="229" t="s">
        <v>14</v>
      </c>
      <c r="D184" s="700" t="s">
        <v>138</v>
      </c>
      <c r="E184" s="308">
        <f t="shared" si="17"/>
        <v>0</v>
      </c>
      <c r="F184" s="229">
        <v>0</v>
      </c>
      <c r="G184" s="229">
        <v>0</v>
      </c>
      <c r="H184" s="229">
        <v>0</v>
      </c>
      <c r="I184" s="229">
        <v>0</v>
      </c>
      <c r="J184" s="230">
        <v>0</v>
      </c>
      <c r="K184" s="733"/>
      <c r="L184" s="627"/>
    </row>
    <row r="185" spans="1:12" ht="13.5" customHeight="1" hidden="1" thickBot="1">
      <c r="A185" s="698"/>
      <c r="B185" s="694"/>
      <c r="C185" s="231" t="s">
        <v>16</v>
      </c>
      <c r="D185" s="701"/>
      <c r="E185" s="309">
        <f t="shared" si="17"/>
        <v>0</v>
      </c>
      <c r="F185" s="231">
        <v>0</v>
      </c>
      <c r="G185" s="231">
        <v>0</v>
      </c>
      <c r="H185" s="231">
        <v>0</v>
      </c>
      <c r="I185" s="231">
        <v>0</v>
      </c>
      <c r="J185" s="232">
        <v>0</v>
      </c>
      <c r="K185" s="733"/>
      <c r="L185" s="627"/>
    </row>
    <row r="186" spans="1:12" ht="12" customHeight="1" hidden="1" thickBot="1">
      <c r="A186" s="699"/>
      <c r="B186" s="694"/>
      <c r="C186" s="233" t="s">
        <v>17</v>
      </c>
      <c r="D186" s="702"/>
      <c r="E186" s="311">
        <f aca="true" t="shared" si="20" ref="E186:E217">SUM(F186:J186)</f>
        <v>0</v>
      </c>
      <c r="F186" s="233">
        <v>0</v>
      </c>
      <c r="G186" s="233">
        <v>0</v>
      </c>
      <c r="H186" s="233">
        <v>0</v>
      </c>
      <c r="I186" s="233">
        <v>0</v>
      </c>
      <c r="J186" s="234">
        <v>0</v>
      </c>
      <c r="K186" s="733"/>
      <c r="L186" s="627"/>
    </row>
    <row r="187" spans="1:14" ht="13.5" customHeight="1" hidden="1" thickBot="1">
      <c r="A187" s="694"/>
      <c r="B187" s="694" t="s">
        <v>107</v>
      </c>
      <c r="C187" s="229" t="s">
        <v>14</v>
      </c>
      <c r="D187" s="695" t="s">
        <v>139</v>
      </c>
      <c r="E187" s="308">
        <f t="shared" si="20"/>
        <v>0</v>
      </c>
      <c r="F187" s="229">
        <v>0</v>
      </c>
      <c r="G187" s="229">
        <v>0</v>
      </c>
      <c r="H187" s="229">
        <v>0</v>
      </c>
      <c r="I187" s="229">
        <v>0</v>
      </c>
      <c r="J187" s="230">
        <v>0</v>
      </c>
      <c r="K187" s="733"/>
      <c r="L187" s="627"/>
      <c r="N187" s="49"/>
    </row>
    <row r="188" spans="1:12" ht="13.5" customHeight="1" hidden="1" thickBot="1">
      <c r="A188" s="694"/>
      <c r="B188" s="694"/>
      <c r="C188" s="231" t="s">
        <v>16</v>
      </c>
      <c r="D188" s="695"/>
      <c r="E188" s="309">
        <f t="shared" si="20"/>
        <v>0</v>
      </c>
      <c r="F188" s="231">
        <v>0</v>
      </c>
      <c r="G188" s="231">
        <v>0</v>
      </c>
      <c r="H188" s="231">
        <v>0</v>
      </c>
      <c r="I188" s="231">
        <v>0</v>
      </c>
      <c r="J188" s="232">
        <v>0</v>
      </c>
      <c r="K188" s="733"/>
      <c r="L188" s="627"/>
    </row>
    <row r="189" spans="1:12" ht="13.5" customHeight="1" hidden="1" thickBot="1">
      <c r="A189" s="694"/>
      <c r="B189" s="694"/>
      <c r="C189" s="233" t="s">
        <v>17</v>
      </c>
      <c r="D189" s="695"/>
      <c r="E189" s="311">
        <f t="shared" si="20"/>
        <v>0</v>
      </c>
      <c r="F189" s="233">
        <v>0</v>
      </c>
      <c r="G189" s="233"/>
      <c r="H189" s="233">
        <v>0</v>
      </c>
      <c r="I189" s="233">
        <v>0</v>
      </c>
      <c r="J189" s="234">
        <v>0</v>
      </c>
      <c r="K189" s="733"/>
      <c r="L189" s="627"/>
    </row>
    <row r="190" spans="1:12" ht="13.5" customHeight="1" hidden="1" thickBot="1">
      <c r="A190" s="694"/>
      <c r="B190" s="694" t="s">
        <v>100</v>
      </c>
      <c r="C190" s="229" t="s">
        <v>14</v>
      </c>
      <c r="D190" s="696" t="s">
        <v>140</v>
      </c>
      <c r="E190" s="308">
        <f t="shared" si="20"/>
        <v>0</v>
      </c>
      <c r="F190" s="229">
        <v>0</v>
      </c>
      <c r="G190" s="229">
        <v>0</v>
      </c>
      <c r="H190" s="229">
        <v>0</v>
      </c>
      <c r="I190" s="229">
        <v>0</v>
      </c>
      <c r="J190" s="230">
        <v>0</v>
      </c>
      <c r="K190" s="733"/>
      <c r="L190" s="627"/>
    </row>
    <row r="191" spans="1:12" ht="13.5" customHeight="1" hidden="1" thickBot="1">
      <c r="A191" s="694"/>
      <c r="B191" s="694"/>
      <c r="C191" s="231" t="s">
        <v>16</v>
      </c>
      <c r="D191" s="696"/>
      <c r="E191" s="309">
        <f t="shared" si="20"/>
        <v>0</v>
      </c>
      <c r="F191" s="231">
        <v>0</v>
      </c>
      <c r="G191" s="231">
        <v>0</v>
      </c>
      <c r="H191" s="231">
        <v>0</v>
      </c>
      <c r="I191" s="231">
        <v>0</v>
      </c>
      <c r="J191" s="232">
        <v>0</v>
      </c>
      <c r="K191" s="733"/>
      <c r="L191" s="627"/>
    </row>
    <row r="192" spans="1:12" ht="13.5" customHeight="1" hidden="1" thickBot="1">
      <c r="A192" s="694"/>
      <c r="B192" s="694"/>
      <c r="C192" s="233" t="s">
        <v>17</v>
      </c>
      <c r="D192" s="696"/>
      <c r="E192" s="311">
        <f t="shared" si="20"/>
        <v>0</v>
      </c>
      <c r="F192" s="233">
        <v>0</v>
      </c>
      <c r="G192" s="233">
        <v>0</v>
      </c>
      <c r="H192" s="233">
        <v>0</v>
      </c>
      <c r="I192" s="233">
        <v>0</v>
      </c>
      <c r="J192" s="234">
        <v>0</v>
      </c>
      <c r="K192" s="733"/>
      <c r="L192" s="627"/>
    </row>
    <row r="193" spans="1:12" ht="13.5" customHeight="1" thickBot="1">
      <c r="A193" s="674" t="s">
        <v>178</v>
      </c>
      <c r="B193" s="680" t="s">
        <v>132</v>
      </c>
      <c r="C193" s="203" t="s">
        <v>14</v>
      </c>
      <c r="D193" s="692">
        <f>D196+D199+D202</f>
        <v>5805100</v>
      </c>
      <c r="E193" s="305">
        <f t="shared" si="20"/>
        <v>0</v>
      </c>
      <c r="F193" s="203">
        <f aca="true" t="shared" si="21" ref="F193:J195">F196+F199+F202</f>
        <v>0</v>
      </c>
      <c r="G193" s="203">
        <f t="shared" si="21"/>
        <v>0</v>
      </c>
      <c r="H193" s="203">
        <f t="shared" si="21"/>
        <v>0</v>
      </c>
      <c r="I193" s="203">
        <f t="shared" si="21"/>
        <v>0</v>
      </c>
      <c r="J193" s="204">
        <f t="shared" si="21"/>
        <v>0</v>
      </c>
      <c r="K193" s="733"/>
      <c r="L193" s="627"/>
    </row>
    <row r="194" spans="1:12" ht="13.5" thickBot="1">
      <c r="A194" s="675"/>
      <c r="B194" s="680"/>
      <c r="C194" s="205" t="s">
        <v>16</v>
      </c>
      <c r="D194" s="692"/>
      <c r="E194" s="306">
        <f t="shared" si="20"/>
        <v>0</v>
      </c>
      <c r="F194" s="205">
        <f t="shared" si="21"/>
        <v>0</v>
      </c>
      <c r="G194" s="205">
        <f t="shared" si="21"/>
        <v>0</v>
      </c>
      <c r="H194" s="205">
        <f t="shared" si="21"/>
        <v>0</v>
      </c>
      <c r="I194" s="205">
        <f t="shared" si="21"/>
        <v>0</v>
      </c>
      <c r="J194" s="206">
        <f t="shared" si="21"/>
        <v>0</v>
      </c>
      <c r="K194" s="733"/>
      <c r="L194" s="627"/>
    </row>
    <row r="195" spans="1:12" ht="19.5" customHeight="1" thickBot="1">
      <c r="A195" s="676"/>
      <c r="B195" s="680"/>
      <c r="C195" s="207" t="s">
        <v>17</v>
      </c>
      <c r="D195" s="692"/>
      <c r="E195" s="307">
        <f t="shared" si="20"/>
        <v>0</v>
      </c>
      <c r="F195" s="207">
        <f t="shared" si="21"/>
        <v>0</v>
      </c>
      <c r="G195" s="207">
        <f t="shared" si="21"/>
        <v>0</v>
      </c>
      <c r="H195" s="207">
        <f t="shared" si="21"/>
        <v>0</v>
      </c>
      <c r="I195" s="207">
        <f t="shared" si="21"/>
        <v>0</v>
      </c>
      <c r="J195" s="208">
        <f t="shared" si="21"/>
        <v>0</v>
      </c>
      <c r="K195" s="733"/>
      <c r="L195" s="627"/>
    </row>
    <row r="196" spans="1:12" ht="16.5" customHeight="1" hidden="1" thickBot="1">
      <c r="A196" s="694"/>
      <c r="B196" s="694" t="s">
        <v>106</v>
      </c>
      <c r="C196" s="229" t="s">
        <v>14</v>
      </c>
      <c r="D196" s="695" t="s">
        <v>141</v>
      </c>
      <c r="E196" s="308">
        <f t="shared" si="20"/>
        <v>0</v>
      </c>
      <c r="F196" s="229">
        <v>0</v>
      </c>
      <c r="G196" s="229">
        <v>0</v>
      </c>
      <c r="H196" s="229">
        <v>0</v>
      </c>
      <c r="I196" s="229">
        <v>0</v>
      </c>
      <c r="J196" s="230">
        <v>0</v>
      </c>
      <c r="K196" s="733"/>
      <c r="L196" s="627"/>
    </row>
    <row r="197" spans="1:12" ht="13.5" customHeight="1" hidden="1" thickBot="1">
      <c r="A197" s="694"/>
      <c r="B197" s="694"/>
      <c r="C197" s="231" t="s">
        <v>16</v>
      </c>
      <c r="D197" s="695"/>
      <c r="E197" s="309">
        <f t="shared" si="20"/>
        <v>0</v>
      </c>
      <c r="F197" s="231">
        <v>0</v>
      </c>
      <c r="G197" s="231">
        <v>0</v>
      </c>
      <c r="H197" s="231">
        <v>0</v>
      </c>
      <c r="I197" s="231">
        <v>0</v>
      </c>
      <c r="J197" s="232">
        <v>0</v>
      </c>
      <c r="K197" s="733"/>
      <c r="L197" s="627"/>
    </row>
    <row r="198" spans="1:12" ht="13.5" customHeight="1" hidden="1" thickBot="1">
      <c r="A198" s="694"/>
      <c r="B198" s="694"/>
      <c r="C198" s="233" t="s">
        <v>17</v>
      </c>
      <c r="D198" s="695"/>
      <c r="E198" s="311">
        <f t="shared" si="20"/>
        <v>0</v>
      </c>
      <c r="F198" s="233">
        <v>0</v>
      </c>
      <c r="G198" s="233">
        <v>0</v>
      </c>
      <c r="H198" s="233">
        <v>0</v>
      </c>
      <c r="I198" s="233">
        <v>0</v>
      </c>
      <c r="J198" s="234">
        <v>0</v>
      </c>
      <c r="K198" s="733"/>
      <c r="L198" s="627"/>
    </row>
    <row r="199" spans="1:14" ht="14.25" customHeight="1" hidden="1" thickBot="1">
      <c r="A199" s="694"/>
      <c r="B199" s="694" t="s">
        <v>107</v>
      </c>
      <c r="C199" s="229" t="s">
        <v>14</v>
      </c>
      <c r="D199" s="695" t="s">
        <v>146</v>
      </c>
      <c r="E199" s="308">
        <f t="shared" si="20"/>
        <v>0</v>
      </c>
      <c r="F199" s="229">
        <v>0</v>
      </c>
      <c r="G199" s="229">
        <v>0</v>
      </c>
      <c r="H199" s="229">
        <v>0</v>
      </c>
      <c r="I199" s="229">
        <v>0</v>
      </c>
      <c r="J199" s="230">
        <v>0</v>
      </c>
      <c r="K199" s="733"/>
      <c r="L199" s="627"/>
      <c r="N199" s="49"/>
    </row>
    <row r="200" spans="1:14" ht="11.25" customHeight="1" hidden="1" thickBot="1">
      <c r="A200" s="694"/>
      <c r="B200" s="694"/>
      <c r="C200" s="231" t="s">
        <v>16</v>
      </c>
      <c r="D200" s="695"/>
      <c r="E200" s="309">
        <f t="shared" si="20"/>
        <v>0</v>
      </c>
      <c r="F200" s="231">
        <v>0</v>
      </c>
      <c r="G200" s="231">
        <v>0</v>
      </c>
      <c r="H200" s="231">
        <v>0</v>
      </c>
      <c r="I200" s="231">
        <v>0</v>
      </c>
      <c r="J200" s="232">
        <v>0</v>
      </c>
      <c r="K200" s="733"/>
      <c r="L200" s="627"/>
      <c r="N200" s="49"/>
    </row>
    <row r="201" spans="1:14" ht="15" customHeight="1" hidden="1" thickBot="1">
      <c r="A201" s="694"/>
      <c r="B201" s="694"/>
      <c r="C201" s="233" t="s">
        <v>17</v>
      </c>
      <c r="D201" s="695"/>
      <c r="E201" s="311">
        <f t="shared" si="20"/>
        <v>0</v>
      </c>
      <c r="F201" s="233">
        <v>0</v>
      </c>
      <c r="G201" s="233">
        <v>0</v>
      </c>
      <c r="H201" s="233">
        <v>0</v>
      </c>
      <c r="I201" s="233">
        <v>0</v>
      </c>
      <c r="J201" s="234">
        <v>0</v>
      </c>
      <c r="K201" s="733"/>
      <c r="L201" s="627"/>
      <c r="N201" s="49"/>
    </row>
    <row r="202" spans="1:14" ht="13.5" customHeight="1" hidden="1" thickBot="1">
      <c r="A202" s="694"/>
      <c r="B202" s="694" t="s">
        <v>100</v>
      </c>
      <c r="C202" s="229" t="s">
        <v>14</v>
      </c>
      <c r="D202" s="695" t="s">
        <v>147</v>
      </c>
      <c r="E202" s="308">
        <f t="shared" si="20"/>
        <v>0</v>
      </c>
      <c r="F202" s="212">
        <v>0</v>
      </c>
      <c r="G202" s="212">
        <v>0</v>
      </c>
      <c r="H202" s="212">
        <v>0</v>
      </c>
      <c r="I202" s="212">
        <v>0</v>
      </c>
      <c r="J202" s="230">
        <v>0</v>
      </c>
      <c r="K202" s="733"/>
      <c r="L202" s="627"/>
      <c r="N202" s="49"/>
    </row>
    <row r="203" spans="1:14" ht="13.5" customHeight="1" hidden="1" thickBot="1">
      <c r="A203" s="694"/>
      <c r="B203" s="694"/>
      <c r="C203" s="231" t="s">
        <v>16</v>
      </c>
      <c r="D203" s="695"/>
      <c r="E203" s="309">
        <f t="shared" si="20"/>
        <v>0</v>
      </c>
      <c r="F203" s="213">
        <v>0</v>
      </c>
      <c r="G203" s="213">
        <v>0</v>
      </c>
      <c r="H203" s="213">
        <v>0</v>
      </c>
      <c r="I203" s="213">
        <v>0</v>
      </c>
      <c r="J203" s="232">
        <v>0</v>
      </c>
      <c r="K203" s="733"/>
      <c r="L203" s="627"/>
      <c r="N203" s="49"/>
    </row>
    <row r="204" spans="1:14" ht="13.5" customHeight="1" hidden="1" thickBot="1">
      <c r="A204" s="694"/>
      <c r="B204" s="694"/>
      <c r="C204" s="233" t="s">
        <v>17</v>
      </c>
      <c r="D204" s="695"/>
      <c r="E204" s="311">
        <f t="shared" si="20"/>
        <v>0</v>
      </c>
      <c r="F204" s="214">
        <v>0</v>
      </c>
      <c r="G204" s="214">
        <v>0</v>
      </c>
      <c r="H204" s="214">
        <v>0</v>
      </c>
      <c r="I204" s="214">
        <v>0</v>
      </c>
      <c r="J204" s="234">
        <v>0</v>
      </c>
      <c r="K204" s="733"/>
      <c r="L204" s="627"/>
      <c r="N204" s="49"/>
    </row>
    <row r="205" spans="1:14" ht="13.5" customHeight="1" thickBot="1">
      <c r="A205" s="674" t="s">
        <v>179</v>
      </c>
      <c r="B205" s="680" t="s">
        <v>133</v>
      </c>
      <c r="C205" s="203" t="s">
        <v>14</v>
      </c>
      <c r="D205" s="692">
        <f>D208+D211+D214</f>
        <v>4784000</v>
      </c>
      <c r="E205" s="305">
        <f t="shared" si="20"/>
        <v>0</v>
      </c>
      <c r="F205" s="203">
        <f aca="true" t="shared" si="22" ref="F205:J207">F208+F211+F214</f>
        <v>0</v>
      </c>
      <c r="G205" s="203">
        <f t="shared" si="22"/>
        <v>0</v>
      </c>
      <c r="H205" s="203">
        <f t="shared" si="22"/>
        <v>0</v>
      </c>
      <c r="I205" s="203">
        <f t="shared" si="22"/>
        <v>0</v>
      </c>
      <c r="J205" s="204">
        <f t="shared" si="22"/>
        <v>0</v>
      </c>
      <c r="K205" s="733"/>
      <c r="L205" s="627"/>
      <c r="N205" s="49"/>
    </row>
    <row r="206" spans="1:14" ht="13.5" thickBot="1">
      <c r="A206" s="675"/>
      <c r="B206" s="680"/>
      <c r="C206" s="205" t="s">
        <v>16</v>
      </c>
      <c r="D206" s="692"/>
      <c r="E206" s="306">
        <f t="shared" si="20"/>
        <v>0</v>
      </c>
      <c r="F206" s="205">
        <f t="shared" si="22"/>
        <v>0</v>
      </c>
      <c r="G206" s="205">
        <f t="shared" si="22"/>
        <v>0</v>
      </c>
      <c r="H206" s="205">
        <f t="shared" si="22"/>
        <v>0</v>
      </c>
      <c r="I206" s="205">
        <f t="shared" si="22"/>
        <v>0</v>
      </c>
      <c r="J206" s="206">
        <f t="shared" si="22"/>
        <v>0</v>
      </c>
      <c r="K206" s="733"/>
      <c r="L206" s="627"/>
      <c r="N206" s="49"/>
    </row>
    <row r="207" spans="1:14" ht="11.25" customHeight="1" thickBot="1">
      <c r="A207" s="676"/>
      <c r="B207" s="680"/>
      <c r="C207" s="207" t="s">
        <v>17</v>
      </c>
      <c r="D207" s="692"/>
      <c r="E207" s="307">
        <f t="shared" si="20"/>
        <v>0</v>
      </c>
      <c r="F207" s="207">
        <f t="shared" si="22"/>
        <v>0</v>
      </c>
      <c r="G207" s="207">
        <f t="shared" si="22"/>
        <v>0</v>
      </c>
      <c r="H207" s="207">
        <f t="shared" si="22"/>
        <v>0</v>
      </c>
      <c r="I207" s="207">
        <f t="shared" si="22"/>
        <v>0</v>
      </c>
      <c r="J207" s="208">
        <f t="shared" si="22"/>
        <v>0</v>
      </c>
      <c r="K207" s="733"/>
      <c r="L207" s="627"/>
      <c r="N207" s="49"/>
    </row>
    <row r="208" spans="1:14" ht="13.5" customHeight="1" hidden="1" thickBot="1">
      <c r="A208" s="694"/>
      <c r="B208" s="694" t="s">
        <v>108</v>
      </c>
      <c r="C208" s="229" t="s">
        <v>14</v>
      </c>
      <c r="D208" s="695" t="s">
        <v>148</v>
      </c>
      <c r="E208" s="308">
        <f t="shared" si="20"/>
        <v>0</v>
      </c>
      <c r="F208" s="229">
        <v>0</v>
      </c>
      <c r="G208" s="229">
        <v>0</v>
      </c>
      <c r="H208" s="229">
        <v>0</v>
      </c>
      <c r="I208" s="229">
        <v>0</v>
      </c>
      <c r="J208" s="230">
        <v>0</v>
      </c>
      <c r="K208" s="733"/>
      <c r="L208" s="627"/>
      <c r="N208" s="49"/>
    </row>
    <row r="209" spans="1:15" ht="13.5" customHeight="1" hidden="1" thickBot="1">
      <c r="A209" s="694"/>
      <c r="B209" s="694"/>
      <c r="C209" s="231" t="s">
        <v>16</v>
      </c>
      <c r="D209" s="695"/>
      <c r="E209" s="309">
        <f t="shared" si="20"/>
        <v>0</v>
      </c>
      <c r="F209" s="231">
        <v>0</v>
      </c>
      <c r="G209" s="231">
        <v>0</v>
      </c>
      <c r="H209" s="231">
        <v>0</v>
      </c>
      <c r="I209" s="231">
        <v>0</v>
      </c>
      <c r="J209" s="232">
        <v>0</v>
      </c>
      <c r="K209" s="733"/>
      <c r="L209" s="627"/>
      <c r="N209" s="49"/>
      <c r="O209" s="49"/>
    </row>
    <row r="210" spans="1:14" ht="13.5" customHeight="1" hidden="1" thickBot="1">
      <c r="A210" s="694"/>
      <c r="B210" s="694"/>
      <c r="C210" s="233" t="s">
        <v>17</v>
      </c>
      <c r="D210" s="695"/>
      <c r="E210" s="311">
        <f t="shared" si="20"/>
        <v>0</v>
      </c>
      <c r="F210" s="233">
        <v>0</v>
      </c>
      <c r="G210" s="233">
        <v>0</v>
      </c>
      <c r="H210" s="233"/>
      <c r="I210" s="233">
        <v>0</v>
      </c>
      <c r="J210" s="234">
        <v>0</v>
      </c>
      <c r="K210" s="733"/>
      <c r="L210" s="627"/>
      <c r="N210" s="49"/>
    </row>
    <row r="211" spans="1:14" ht="13.5" customHeight="1" hidden="1" thickBot="1">
      <c r="A211" s="694"/>
      <c r="B211" s="694" t="s">
        <v>107</v>
      </c>
      <c r="C211" s="229" t="s">
        <v>14</v>
      </c>
      <c r="D211" s="695" t="s">
        <v>149</v>
      </c>
      <c r="E211" s="308">
        <f t="shared" si="20"/>
        <v>0</v>
      </c>
      <c r="F211" s="229">
        <v>0</v>
      </c>
      <c r="G211" s="229">
        <v>0</v>
      </c>
      <c r="H211" s="229">
        <v>0</v>
      </c>
      <c r="I211" s="229">
        <v>0</v>
      </c>
      <c r="J211" s="230">
        <v>0</v>
      </c>
      <c r="K211" s="733"/>
      <c r="L211" s="627"/>
      <c r="N211" s="49"/>
    </row>
    <row r="212" spans="1:14" ht="13.5" customHeight="1" hidden="1" thickBot="1">
      <c r="A212" s="694"/>
      <c r="B212" s="694"/>
      <c r="C212" s="231" t="s">
        <v>16</v>
      </c>
      <c r="D212" s="695"/>
      <c r="E212" s="309">
        <f t="shared" si="20"/>
        <v>0</v>
      </c>
      <c r="F212" s="231">
        <v>0</v>
      </c>
      <c r="G212" s="231">
        <v>0</v>
      </c>
      <c r="H212" s="231">
        <v>0</v>
      </c>
      <c r="I212" s="231">
        <v>0</v>
      </c>
      <c r="J212" s="232">
        <v>0</v>
      </c>
      <c r="K212" s="733"/>
      <c r="L212" s="627"/>
      <c r="N212" s="49"/>
    </row>
    <row r="213" spans="1:14" ht="13.5" customHeight="1" hidden="1" thickBot="1">
      <c r="A213" s="694"/>
      <c r="B213" s="694"/>
      <c r="C213" s="233" t="s">
        <v>17</v>
      </c>
      <c r="D213" s="695"/>
      <c r="E213" s="311">
        <f t="shared" si="20"/>
        <v>0</v>
      </c>
      <c r="F213" s="233">
        <v>0</v>
      </c>
      <c r="G213" s="233">
        <v>0</v>
      </c>
      <c r="H213" s="233">
        <v>0</v>
      </c>
      <c r="I213" s="233">
        <v>0</v>
      </c>
      <c r="J213" s="234">
        <v>0</v>
      </c>
      <c r="K213" s="733"/>
      <c r="L213" s="627"/>
      <c r="N213" s="49"/>
    </row>
    <row r="214" spans="1:12" ht="13.5" customHeight="1" hidden="1" thickBot="1">
      <c r="A214" s="694"/>
      <c r="B214" s="694" t="s">
        <v>100</v>
      </c>
      <c r="C214" s="229" t="s">
        <v>14</v>
      </c>
      <c r="D214" s="695" t="s">
        <v>150</v>
      </c>
      <c r="E214" s="308">
        <f t="shared" si="20"/>
        <v>0</v>
      </c>
      <c r="F214" s="229">
        <v>0</v>
      </c>
      <c r="G214" s="212">
        <v>0</v>
      </c>
      <c r="H214" s="212">
        <v>0</v>
      </c>
      <c r="I214" s="229">
        <v>0</v>
      </c>
      <c r="J214" s="230">
        <v>0</v>
      </c>
      <c r="K214" s="733"/>
      <c r="L214" s="627"/>
    </row>
    <row r="215" spans="1:12" ht="13.5" customHeight="1" hidden="1" thickBot="1">
      <c r="A215" s="694"/>
      <c r="B215" s="694"/>
      <c r="C215" s="231" t="s">
        <v>16</v>
      </c>
      <c r="D215" s="695"/>
      <c r="E215" s="309">
        <f t="shared" si="20"/>
        <v>0</v>
      </c>
      <c r="F215" s="231">
        <v>0</v>
      </c>
      <c r="G215" s="213">
        <v>0</v>
      </c>
      <c r="H215" s="213">
        <v>0</v>
      </c>
      <c r="I215" s="231">
        <v>0</v>
      </c>
      <c r="J215" s="232">
        <v>0</v>
      </c>
      <c r="K215" s="733"/>
      <c r="L215" s="627"/>
    </row>
    <row r="216" spans="1:12" ht="13.5" customHeight="1" hidden="1" thickBot="1">
      <c r="A216" s="694"/>
      <c r="B216" s="694"/>
      <c r="C216" s="233" t="s">
        <v>17</v>
      </c>
      <c r="D216" s="695"/>
      <c r="E216" s="311">
        <f t="shared" si="20"/>
        <v>0</v>
      </c>
      <c r="F216" s="233">
        <v>0</v>
      </c>
      <c r="G216" s="214">
        <v>0</v>
      </c>
      <c r="H216" s="214">
        <v>0</v>
      </c>
      <c r="I216" s="233">
        <v>0</v>
      </c>
      <c r="J216" s="222">
        <v>0</v>
      </c>
      <c r="K216" s="733"/>
      <c r="L216" s="627"/>
    </row>
    <row r="217" spans="1:12" ht="13.5" customHeight="1" thickBot="1">
      <c r="A217" s="669" t="s">
        <v>180</v>
      </c>
      <c r="B217" s="680" t="s">
        <v>134</v>
      </c>
      <c r="C217" s="203" t="s">
        <v>14</v>
      </c>
      <c r="D217" s="692">
        <f>D220+D223+D226</f>
        <v>4046000</v>
      </c>
      <c r="E217" s="305">
        <f t="shared" si="20"/>
        <v>0</v>
      </c>
      <c r="F217" s="203">
        <f aca="true" t="shared" si="23" ref="F217:J219">F220+F223+F226</f>
        <v>0</v>
      </c>
      <c r="G217" s="203">
        <f t="shared" si="23"/>
        <v>0</v>
      </c>
      <c r="H217" s="203">
        <f t="shared" si="23"/>
        <v>0</v>
      </c>
      <c r="I217" s="203">
        <f t="shared" si="23"/>
        <v>0</v>
      </c>
      <c r="J217" s="204">
        <f t="shared" si="23"/>
        <v>0</v>
      </c>
      <c r="K217" s="733"/>
      <c r="L217" s="627"/>
    </row>
    <row r="218" spans="1:12" ht="13.5" thickBot="1">
      <c r="A218" s="669"/>
      <c r="B218" s="680"/>
      <c r="C218" s="205" t="s">
        <v>16</v>
      </c>
      <c r="D218" s="692"/>
      <c r="E218" s="306">
        <f aca="true" t="shared" si="24" ref="E218:E244">SUM(F218:J218)</f>
        <v>0</v>
      </c>
      <c r="F218" s="205">
        <f t="shared" si="23"/>
        <v>0</v>
      </c>
      <c r="G218" s="205">
        <f t="shared" si="23"/>
        <v>0</v>
      </c>
      <c r="H218" s="205">
        <f t="shared" si="23"/>
        <v>0</v>
      </c>
      <c r="I218" s="205">
        <f t="shared" si="23"/>
        <v>0</v>
      </c>
      <c r="J218" s="206">
        <f t="shared" si="23"/>
        <v>0</v>
      </c>
      <c r="K218" s="733"/>
      <c r="L218" s="627"/>
    </row>
    <row r="219" spans="1:12" ht="11.25" customHeight="1" thickBot="1">
      <c r="A219" s="669"/>
      <c r="B219" s="680"/>
      <c r="C219" s="207" t="s">
        <v>17</v>
      </c>
      <c r="D219" s="692"/>
      <c r="E219" s="307">
        <f t="shared" si="24"/>
        <v>0</v>
      </c>
      <c r="F219" s="207">
        <f t="shared" si="23"/>
        <v>0</v>
      </c>
      <c r="G219" s="207">
        <f t="shared" si="23"/>
        <v>0</v>
      </c>
      <c r="H219" s="207">
        <f t="shared" si="23"/>
        <v>0</v>
      </c>
      <c r="I219" s="207">
        <f t="shared" si="23"/>
        <v>0</v>
      </c>
      <c r="J219" s="208">
        <f t="shared" si="23"/>
        <v>0</v>
      </c>
      <c r="K219" s="733"/>
      <c r="L219" s="627"/>
    </row>
    <row r="220" spans="1:12" ht="13.5" customHeight="1" hidden="1" thickBot="1">
      <c r="A220" s="693"/>
      <c r="B220" s="694" t="s">
        <v>104</v>
      </c>
      <c r="C220" s="229" t="s">
        <v>14</v>
      </c>
      <c r="D220" s="695" t="s">
        <v>151</v>
      </c>
      <c r="E220" s="308">
        <f t="shared" si="24"/>
        <v>0</v>
      </c>
      <c r="F220" s="229">
        <v>0</v>
      </c>
      <c r="G220" s="229">
        <v>0</v>
      </c>
      <c r="H220" s="229">
        <v>0</v>
      </c>
      <c r="I220" s="229">
        <v>0</v>
      </c>
      <c r="J220" s="230">
        <v>0</v>
      </c>
      <c r="K220" s="733"/>
      <c r="L220" s="627"/>
    </row>
    <row r="221" spans="1:12" ht="13.5" customHeight="1" hidden="1" thickBot="1">
      <c r="A221" s="693"/>
      <c r="B221" s="694"/>
      <c r="C221" s="231" t="s">
        <v>16</v>
      </c>
      <c r="D221" s="695"/>
      <c r="E221" s="309">
        <f t="shared" si="24"/>
        <v>0</v>
      </c>
      <c r="F221" s="231">
        <v>0</v>
      </c>
      <c r="G221" s="231">
        <v>0</v>
      </c>
      <c r="H221" s="231">
        <v>0</v>
      </c>
      <c r="I221" s="231">
        <v>0</v>
      </c>
      <c r="J221" s="232">
        <v>0</v>
      </c>
      <c r="K221" s="733"/>
      <c r="L221" s="627"/>
    </row>
    <row r="222" spans="1:12" ht="13.5" customHeight="1" hidden="1" thickBot="1">
      <c r="A222" s="693"/>
      <c r="B222" s="694"/>
      <c r="C222" s="233" t="s">
        <v>17</v>
      </c>
      <c r="D222" s="695"/>
      <c r="E222" s="311">
        <f t="shared" si="24"/>
        <v>0</v>
      </c>
      <c r="F222" s="233">
        <v>0</v>
      </c>
      <c r="G222" s="233">
        <v>0</v>
      </c>
      <c r="H222" s="233">
        <v>0</v>
      </c>
      <c r="I222" s="233">
        <v>0</v>
      </c>
      <c r="J222" s="234">
        <v>0</v>
      </c>
      <c r="K222" s="733"/>
      <c r="L222" s="627"/>
    </row>
    <row r="223" spans="1:13" ht="13.5" customHeight="1" hidden="1" thickBot="1">
      <c r="A223" s="693"/>
      <c r="B223" s="694" t="s">
        <v>105</v>
      </c>
      <c r="C223" s="229" t="s">
        <v>14</v>
      </c>
      <c r="D223" s="695" t="s">
        <v>152</v>
      </c>
      <c r="E223" s="308">
        <f t="shared" si="24"/>
        <v>0</v>
      </c>
      <c r="F223" s="229">
        <v>0</v>
      </c>
      <c r="G223" s="229">
        <v>0</v>
      </c>
      <c r="H223" s="229">
        <v>0</v>
      </c>
      <c r="I223" s="229">
        <v>0</v>
      </c>
      <c r="J223" s="230">
        <v>0</v>
      </c>
      <c r="K223" s="733"/>
      <c r="L223" s="627"/>
      <c r="M223" s="49"/>
    </row>
    <row r="224" spans="1:12" ht="13.5" customHeight="1" hidden="1" thickBot="1">
      <c r="A224" s="693"/>
      <c r="B224" s="694"/>
      <c r="C224" s="231" t="s">
        <v>16</v>
      </c>
      <c r="D224" s="695"/>
      <c r="E224" s="309">
        <f t="shared" si="24"/>
        <v>0</v>
      </c>
      <c r="F224" s="231">
        <v>0</v>
      </c>
      <c r="G224" s="231">
        <v>0</v>
      </c>
      <c r="H224" s="231">
        <v>0</v>
      </c>
      <c r="I224" s="231">
        <v>0</v>
      </c>
      <c r="J224" s="232">
        <v>0</v>
      </c>
      <c r="K224" s="733"/>
      <c r="L224" s="627"/>
    </row>
    <row r="225" spans="1:12" ht="13.5" customHeight="1" hidden="1" thickBot="1">
      <c r="A225" s="693"/>
      <c r="B225" s="694"/>
      <c r="C225" s="233" t="s">
        <v>17</v>
      </c>
      <c r="D225" s="695"/>
      <c r="E225" s="311">
        <f t="shared" si="24"/>
        <v>0</v>
      </c>
      <c r="F225" s="233">
        <v>0</v>
      </c>
      <c r="G225" s="233">
        <v>0</v>
      </c>
      <c r="H225" s="233">
        <v>0</v>
      </c>
      <c r="I225" s="233">
        <v>0</v>
      </c>
      <c r="J225" s="234">
        <v>0</v>
      </c>
      <c r="K225" s="733"/>
      <c r="L225" s="627"/>
    </row>
    <row r="226" spans="1:12" ht="13.5" customHeight="1" hidden="1" thickBot="1">
      <c r="A226" s="693"/>
      <c r="B226" s="694" t="s">
        <v>100</v>
      </c>
      <c r="C226" s="229" t="s">
        <v>14</v>
      </c>
      <c r="D226" s="695" t="s">
        <v>153</v>
      </c>
      <c r="E226" s="308">
        <f t="shared" si="24"/>
        <v>0</v>
      </c>
      <c r="F226" s="229">
        <v>0</v>
      </c>
      <c r="G226" s="212">
        <v>0</v>
      </c>
      <c r="H226" s="212">
        <v>0</v>
      </c>
      <c r="I226" s="229">
        <v>0</v>
      </c>
      <c r="J226" s="230">
        <v>0</v>
      </c>
      <c r="K226" s="733"/>
      <c r="L226" s="627"/>
    </row>
    <row r="227" spans="1:12" ht="13.5" customHeight="1" hidden="1" thickBot="1">
      <c r="A227" s="693"/>
      <c r="B227" s="694"/>
      <c r="C227" s="231" t="s">
        <v>16</v>
      </c>
      <c r="D227" s="695"/>
      <c r="E227" s="309">
        <f t="shared" si="24"/>
        <v>0</v>
      </c>
      <c r="F227" s="231">
        <v>0</v>
      </c>
      <c r="G227" s="213">
        <v>0</v>
      </c>
      <c r="H227" s="213">
        <v>0</v>
      </c>
      <c r="I227" s="231">
        <v>0</v>
      </c>
      <c r="J227" s="232">
        <v>0</v>
      </c>
      <c r="K227" s="733"/>
      <c r="L227" s="627"/>
    </row>
    <row r="228" spans="1:12" ht="12" customHeight="1" hidden="1" thickBot="1">
      <c r="A228" s="693"/>
      <c r="B228" s="694"/>
      <c r="C228" s="233" t="s">
        <v>17</v>
      </c>
      <c r="D228" s="695"/>
      <c r="E228" s="311">
        <f t="shared" si="24"/>
        <v>0</v>
      </c>
      <c r="F228" s="233">
        <v>0</v>
      </c>
      <c r="G228" s="214">
        <v>0</v>
      </c>
      <c r="H228" s="214">
        <v>0</v>
      </c>
      <c r="I228" s="233">
        <v>0</v>
      </c>
      <c r="J228" s="234">
        <v>0</v>
      </c>
      <c r="K228" s="733"/>
      <c r="L228" s="627"/>
    </row>
    <row r="229" spans="1:12" ht="13.5" customHeight="1" thickBot="1">
      <c r="A229" s="669" t="s">
        <v>181</v>
      </c>
      <c r="B229" s="680" t="s">
        <v>135</v>
      </c>
      <c r="C229" s="203" t="s">
        <v>14</v>
      </c>
      <c r="D229" s="692">
        <f>D232+D235</f>
        <v>2265000</v>
      </c>
      <c r="E229" s="305">
        <f t="shared" si="24"/>
        <v>0</v>
      </c>
      <c r="F229" s="203">
        <f>F232+F235</f>
        <v>0</v>
      </c>
      <c r="G229" s="203">
        <f>G232+G235</f>
        <v>0</v>
      </c>
      <c r="H229" s="203">
        <f>H232+H235</f>
        <v>0</v>
      </c>
      <c r="I229" s="203">
        <f>I232+I235</f>
        <v>0</v>
      </c>
      <c r="J229" s="204">
        <f>J232+J235</f>
        <v>0</v>
      </c>
      <c r="K229" s="733"/>
      <c r="L229" s="627"/>
    </row>
    <row r="230" spans="1:12" ht="13.5" thickBot="1">
      <c r="A230" s="669"/>
      <c r="B230" s="680"/>
      <c r="C230" s="205" t="s">
        <v>16</v>
      </c>
      <c r="D230" s="692"/>
      <c r="E230" s="306">
        <f t="shared" si="24"/>
        <v>0</v>
      </c>
      <c r="F230" s="205">
        <f aca="true" t="shared" si="25" ref="F230:J231">F233+F236</f>
        <v>0</v>
      </c>
      <c r="G230" s="205">
        <f t="shared" si="25"/>
        <v>0</v>
      </c>
      <c r="H230" s="205">
        <f t="shared" si="25"/>
        <v>0</v>
      </c>
      <c r="I230" s="205">
        <f t="shared" si="25"/>
        <v>0</v>
      </c>
      <c r="J230" s="206">
        <f t="shared" si="25"/>
        <v>0</v>
      </c>
      <c r="K230" s="733"/>
      <c r="L230" s="627"/>
    </row>
    <row r="231" spans="1:12" ht="15" customHeight="1" thickBot="1">
      <c r="A231" s="669"/>
      <c r="B231" s="680"/>
      <c r="C231" s="207" t="s">
        <v>17</v>
      </c>
      <c r="D231" s="692"/>
      <c r="E231" s="307">
        <f t="shared" si="24"/>
        <v>0</v>
      </c>
      <c r="F231" s="207">
        <f t="shared" si="25"/>
        <v>0</v>
      </c>
      <c r="G231" s="207">
        <f t="shared" si="25"/>
        <v>0</v>
      </c>
      <c r="H231" s="207">
        <f t="shared" si="25"/>
        <v>0</v>
      </c>
      <c r="I231" s="207">
        <f t="shared" si="25"/>
        <v>0</v>
      </c>
      <c r="J231" s="208">
        <f t="shared" si="25"/>
        <v>0</v>
      </c>
      <c r="K231" s="734"/>
      <c r="L231" s="627"/>
    </row>
    <row r="232" spans="1:12" ht="15.75" customHeight="1" hidden="1" thickBot="1">
      <c r="A232" s="690"/>
      <c r="B232" s="690" t="s">
        <v>104</v>
      </c>
      <c r="C232" s="182" t="s">
        <v>14</v>
      </c>
      <c r="D232" s="691">
        <v>954000</v>
      </c>
      <c r="E232" s="312">
        <f t="shared" si="24"/>
        <v>0</v>
      </c>
      <c r="F232" s="182">
        <v>0</v>
      </c>
      <c r="G232" s="182">
        <v>0</v>
      </c>
      <c r="H232" s="182">
        <v>0</v>
      </c>
      <c r="I232" s="182">
        <v>0</v>
      </c>
      <c r="J232" s="183">
        <v>0</v>
      </c>
      <c r="K232" s="188"/>
      <c r="L232" s="627"/>
    </row>
    <row r="233" spans="1:12" ht="13.5" hidden="1" thickBot="1">
      <c r="A233" s="690"/>
      <c r="B233" s="690"/>
      <c r="C233" s="184" t="s">
        <v>16</v>
      </c>
      <c r="D233" s="691"/>
      <c r="E233" s="313">
        <f t="shared" si="24"/>
        <v>0</v>
      </c>
      <c r="F233" s="184">
        <v>0</v>
      </c>
      <c r="G233" s="184">
        <v>0</v>
      </c>
      <c r="H233" s="184">
        <v>0</v>
      </c>
      <c r="I233" s="184">
        <v>0</v>
      </c>
      <c r="J233" s="185">
        <v>0</v>
      </c>
      <c r="K233" s="189"/>
      <c r="L233" s="627"/>
    </row>
    <row r="234" spans="1:12" ht="13.5" hidden="1" thickBot="1">
      <c r="A234" s="690"/>
      <c r="B234" s="690"/>
      <c r="C234" s="186" t="s">
        <v>17</v>
      </c>
      <c r="D234" s="691"/>
      <c r="E234" s="314">
        <f t="shared" si="24"/>
        <v>0</v>
      </c>
      <c r="F234" s="186">
        <v>0</v>
      </c>
      <c r="G234" s="186">
        <v>0</v>
      </c>
      <c r="H234" s="186">
        <v>0</v>
      </c>
      <c r="I234" s="186">
        <v>0</v>
      </c>
      <c r="J234" s="187">
        <v>0</v>
      </c>
      <c r="K234" s="190"/>
      <c r="L234" s="627"/>
    </row>
    <row r="235" spans="1:13" ht="13.5" customHeight="1" hidden="1" thickBot="1">
      <c r="A235" s="690"/>
      <c r="B235" s="690" t="s">
        <v>105</v>
      </c>
      <c r="C235" s="182" t="s">
        <v>14</v>
      </c>
      <c r="D235" s="691">
        <v>1311000</v>
      </c>
      <c r="E235" s="312">
        <f t="shared" si="24"/>
        <v>0</v>
      </c>
      <c r="F235" s="182">
        <v>0</v>
      </c>
      <c r="G235" s="182">
        <v>0</v>
      </c>
      <c r="H235" s="182">
        <v>0</v>
      </c>
      <c r="I235" s="182">
        <v>0</v>
      </c>
      <c r="J235" s="183">
        <v>0</v>
      </c>
      <c r="K235" s="188"/>
      <c r="L235" s="627"/>
      <c r="M235" s="49"/>
    </row>
    <row r="236" spans="1:12" ht="13.5" hidden="1" thickBot="1">
      <c r="A236" s="690"/>
      <c r="B236" s="690"/>
      <c r="C236" s="184" t="s">
        <v>16</v>
      </c>
      <c r="D236" s="691"/>
      <c r="E236" s="313">
        <f t="shared" si="24"/>
        <v>0</v>
      </c>
      <c r="F236" s="184">
        <v>0</v>
      </c>
      <c r="G236" s="184">
        <v>0</v>
      </c>
      <c r="H236" s="184">
        <v>0</v>
      </c>
      <c r="I236" s="184">
        <v>0</v>
      </c>
      <c r="J236" s="185">
        <v>0</v>
      </c>
      <c r="K236" s="189"/>
      <c r="L236" s="627"/>
    </row>
    <row r="237" spans="1:12" ht="13.5" hidden="1" thickBot="1">
      <c r="A237" s="690"/>
      <c r="B237" s="690"/>
      <c r="C237" s="186" t="s">
        <v>17</v>
      </c>
      <c r="D237" s="691"/>
      <c r="E237" s="314">
        <f t="shared" si="24"/>
        <v>0</v>
      </c>
      <c r="F237" s="186">
        <v>0</v>
      </c>
      <c r="G237" s="186">
        <v>0</v>
      </c>
      <c r="H237" s="186">
        <v>0</v>
      </c>
      <c r="I237" s="186">
        <v>0</v>
      </c>
      <c r="J237" s="187">
        <v>0</v>
      </c>
      <c r="K237" s="190"/>
      <c r="L237" s="627"/>
    </row>
    <row r="238" spans="1:12" ht="13.5" customHeight="1" thickBot="1">
      <c r="A238" s="682"/>
      <c r="B238" s="683" t="s">
        <v>74</v>
      </c>
      <c r="C238" s="164" t="s">
        <v>14</v>
      </c>
      <c r="D238" s="684"/>
      <c r="E238" s="296">
        <f t="shared" si="24"/>
        <v>45899.6</v>
      </c>
      <c r="F238" s="164">
        <f>F157+F160+F181+F193+F205+F217+F229</f>
        <v>45899.6</v>
      </c>
      <c r="G238" s="164">
        <f aca="true" t="shared" si="26" ref="G238:J239">G157+G160+G181+G193+G205+G217+G229</f>
        <v>0</v>
      </c>
      <c r="H238" s="164">
        <f t="shared" si="26"/>
        <v>0</v>
      </c>
      <c r="I238" s="164">
        <f t="shared" si="26"/>
        <v>0</v>
      </c>
      <c r="J238" s="164">
        <f t="shared" si="26"/>
        <v>0</v>
      </c>
      <c r="K238" s="166"/>
      <c r="L238" s="627"/>
    </row>
    <row r="239" spans="1:12" ht="13.5" thickBot="1">
      <c r="A239" s="682"/>
      <c r="B239" s="683"/>
      <c r="C239" s="167" t="s">
        <v>16</v>
      </c>
      <c r="D239" s="684"/>
      <c r="E239" s="297">
        <f t="shared" si="24"/>
        <v>405000</v>
      </c>
      <c r="F239" s="167">
        <f>F158+F161+F182+F194+F206+F218+F230</f>
        <v>405000</v>
      </c>
      <c r="G239" s="167">
        <f t="shared" si="26"/>
        <v>0</v>
      </c>
      <c r="H239" s="167">
        <f t="shared" si="26"/>
        <v>0</v>
      </c>
      <c r="I239" s="167">
        <f t="shared" si="26"/>
        <v>0</v>
      </c>
      <c r="J239" s="167">
        <f t="shared" si="26"/>
        <v>0</v>
      </c>
      <c r="K239" s="169"/>
      <c r="L239" s="627"/>
    </row>
    <row r="240" spans="1:12" ht="13.5" thickBot="1">
      <c r="A240" s="682"/>
      <c r="B240" s="683"/>
      <c r="C240" s="170" t="s">
        <v>17</v>
      </c>
      <c r="D240" s="684"/>
      <c r="E240" s="298">
        <f t="shared" si="24"/>
        <v>0</v>
      </c>
      <c r="F240" s="170">
        <f>F159+F162+F183+F195+F207+F219+F231</f>
        <v>0</v>
      </c>
      <c r="G240" s="170">
        <f>G159+G162+G183+G195+G207+G219+G231</f>
        <v>0</v>
      </c>
      <c r="H240" s="170">
        <f>H159+H162+H183+H195+H207+H219+H231</f>
        <v>0</v>
      </c>
      <c r="I240" s="170">
        <f>I159+I162+I183+I195+I207+I219+I231</f>
        <v>0</v>
      </c>
      <c r="J240" s="170">
        <f>J159+J162+J183+J195+J207+J219+J231</f>
        <v>0</v>
      </c>
      <c r="K240" s="171"/>
      <c r="L240" s="627"/>
    </row>
    <row r="241" spans="1:12" ht="15.75" customHeight="1" thickBot="1">
      <c r="A241" s="685"/>
      <c r="B241" s="686" t="s">
        <v>75</v>
      </c>
      <c r="C241" s="191" t="s">
        <v>14</v>
      </c>
      <c r="D241" s="332">
        <f>SUM(F241:J241)</f>
        <v>81587197.26</v>
      </c>
      <c r="E241" s="192">
        <f t="shared" si="24"/>
        <v>81587197.26</v>
      </c>
      <c r="F241" s="192">
        <f>F129+F149+F238</f>
        <v>28421539.830000002</v>
      </c>
      <c r="G241" s="192">
        <f>G129+G149+G238</f>
        <v>25036446.93</v>
      </c>
      <c r="H241" s="192">
        <f>H129+H149+H238</f>
        <v>20523208.04</v>
      </c>
      <c r="I241" s="192">
        <f>I129+I149+I238</f>
        <v>3806002.46</v>
      </c>
      <c r="J241" s="192">
        <f>J129+J149+J238</f>
        <v>3800000</v>
      </c>
      <c r="K241" s="193"/>
      <c r="L241" s="627"/>
    </row>
    <row r="242" spans="1:12" ht="15.75" thickBot="1">
      <c r="A242" s="685"/>
      <c r="B242" s="686"/>
      <c r="C242" s="194" t="s">
        <v>16</v>
      </c>
      <c r="D242" s="332">
        <f>SUM(F242:J242)</f>
        <v>14301954.68</v>
      </c>
      <c r="E242" s="195">
        <f t="shared" si="24"/>
        <v>14301954.68</v>
      </c>
      <c r="F242" s="195">
        <f aca="true" t="shared" si="27" ref="F242:J243">F130+F150+F239</f>
        <v>405000</v>
      </c>
      <c r="G242" s="195">
        <f t="shared" si="27"/>
        <v>7182949.96</v>
      </c>
      <c r="H242" s="195">
        <f>H130+H150+H239</f>
        <v>6714004.72</v>
      </c>
      <c r="I242" s="195">
        <f t="shared" si="27"/>
        <v>0</v>
      </c>
      <c r="J242" s="195">
        <f t="shared" si="27"/>
        <v>0</v>
      </c>
      <c r="K242" s="196"/>
      <c r="L242" s="627"/>
    </row>
    <row r="243" spans="1:12" ht="15.75" thickBot="1">
      <c r="A243" s="685"/>
      <c r="B243" s="686"/>
      <c r="C243" s="197" t="s">
        <v>17</v>
      </c>
      <c r="D243" s="332">
        <f>SUM(F243:J243)</f>
        <v>168588975.98</v>
      </c>
      <c r="E243" s="198">
        <f t="shared" si="24"/>
        <v>168588975.98</v>
      </c>
      <c r="F243" s="325">
        <f t="shared" si="27"/>
        <v>3752000</v>
      </c>
      <c r="G243" s="325">
        <f t="shared" si="27"/>
        <v>83520975.97999999</v>
      </c>
      <c r="H243" s="325">
        <f t="shared" si="27"/>
        <v>48752000</v>
      </c>
      <c r="I243" s="325">
        <f t="shared" si="27"/>
        <v>32564000</v>
      </c>
      <c r="J243" s="325">
        <f t="shared" si="27"/>
        <v>0</v>
      </c>
      <c r="K243" s="199"/>
      <c r="L243" s="730"/>
    </row>
    <row r="244" spans="1:12" ht="15.75" thickBot="1">
      <c r="A244" s="200"/>
      <c r="B244" s="200" t="s">
        <v>111</v>
      </c>
      <c r="C244" s="200"/>
      <c r="D244" s="332">
        <f>F244+G244+H244+I244+J244</f>
        <v>264478127.92</v>
      </c>
      <c r="E244" s="201">
        <f t="shared" si="24"/>
        <v>264478127.92</v>
      </c>
      <c r="F244" s="326">
        <f>SUM(F241:F243)</f>
        <v>32578539.830000002</v>
      </c>
      <c r="G244" s="326">
        <f>SUM(G241:G243)</f>
        <v>115740372.86999999</v>
      </c>
      <c r="H244" s="326">
        <f>SUM(H241:H243)</f>
        <v>75989212.75999999</v>
      </c>
      <c r="I244" s="326">
        <f>SUM(I241:I243)</f>
        <v>36370002.46</v>
      </c>
      <c r="J244" s="326">
        <f>SUM(J241:J243)</f>
        <v>3800000</v>
      </c>
      <c r="K244" s="202"/>
      <c r="L244" s="113"/>
    </row>
    <row r="245" spans="4:11" ht="15">
      <c r="D245" s="95"/>
      <c r="F245" s="96"/>
      <c r="G245" s="96"/>
      <c r="H245" s="96"/>
      <c r="I245" s="96"/>
      <c r="J245" s="96"/>
      <c r="K245" s="96"/>
    </row>
    <row r="246" spans="3:10" ht="15">
      <c r="C246" t="s">
        <v>77</v>
      </c>
      <c r="D246" s="660"/>
      <c r="E246" s="49"/>
      <c r="F246" s="324"/>
      <c r="G246" s="324"/>
      <c r="H246" s="324"/>
      <c r="I246" s="324"/>
      <c r="J246" s="324"/>
    </row>
    <row r="247" spans="4:10" ht="15">
      <c r="D247" s="660"/>
      <c r="E247" s="261"/>
      <c r="F247" s="333"/>
      <c r="G247" s="324"/>
      <c r="H247" s="334"/>
      <c r="I247" s="334"/>
      <c r="J247" s="261"/>
    </row>
    <row r="248" spans="5:10" ht="12.75">
      <c r="E248" s="261"/>
      <c r="F248" s="335"/>
      <c r="G248" s="335"/>
      <c r="H248" s="334"/>
      <c r="I248" s="334"/>
      <c r="J248" s="261"/>
    </row>
    <row r="249" spans="3:9" ht="12.75">
      <c r="C249" s="261"/>
      <c r="F249" s="335"/>
      <c r="G249" s="335"/>
      <c r="H249" s="334"/>
      <c r="I249" s="334"/>
    </row>
    <row r="250" spans="8:10" ht="12.75">
      <c r="H250" s="261"/>
      <c r="I250" s="331"/>
      <c r="J250" s="331"/>
    </row>
  </sheetData>
  <sheetProtection/>
  <mergeCells count="247">
    <mergeCell ref="A123:A125"/>
    <mergeCell ref="B123:B125"/>
    <mergeCell ref="D123:D125"/>
    <mergeCell ref="A126:A128"/>
    <mergeCell ref="B126:B128"/>
    <mergeCell ref="D126:D128"/>
    <mergeCell ref="A117:A119"/>
    <mergeCell ref="B117:B119"/>
    <mergeCell ref="D117:D119"/>
    <mergeCell ref="A120:A122"/>
    <mergeCell ref="B120:B122"/>
    <mergeCell ref="D120:D122"/>
    <mergeCell ref="A114:A116"/>
    <mergeCell ref="B114:B116"/>
    <mergeCell ref="D114:D116"/>
    <mergeCell ref="D108:D110"/>
    <mergeCell ref="K39:K41"/>
    <mergeCell ref="K157:K231"/>
    <mergeCell ref="A81:A83"/>
    <mergeCell ref="B81:B83"/>
    <mergeCell ref="D81:D83"/>
    <mergeCell ref="D96:D98"/>
    <mergeCell ref="A39:A41"/>
    <mergeCell ref="B39:B41"/>
    <mergeCell ref="A108:A110"/>
    <mergeCell ref="B108:B110"/>
    <mergeCell ref="D75:D77"/>
    <mergeCell ref="B78:B80"/>
    <mergeCell ref="D78:D80"/>
    <mergeCell ref="D42:D44"/>
    <mergeCell ref="D57:D59"/>
    <mergeCell ref="D45:D47"/>
    <mergeCell ref="D93:D95"/>
    <mergeCell ref="B96:B98"/>
    <mergeCell ref="D84:D86"/>
    <mergeCell ref="K99:K101"/>
    <mergeCell ref="B60:B62"/>
    <mergeCell ref="D60:D62"/>
    <mergeCell ref="D66:D68"/>
    <mergeCell ref="B63:B65"/>
    <mergeCell ref="D63:D65"/>
    <mergeCell ref="B90:B92"/>
    <mergeCell ref="A48:A50"/>
    <mergeCell ref="B48:B50"/>
    <mergeCell ref="D48:D50"/>
    <mergeCell ref="A51:A53"/>
    <mergeCell ref="D54:D56"/>
    <mergeCell ref="A15:A17"/>
    <mergeCell ref="B15:B17"/>
    <mergeCell ref="D15:D17"/>
    <mergeCell ref="D18:D20"/>
    <mergeCell ref="A21:A23"/>
    <mergeCell ref="A42:A44"/>
    <mergeCell ref="B42:B44"/>
    <mergeCell ref="K18:K20"/>
    <mergeCell ref="K27:K29"/>
    <mergeCell ref="D30:D32"/>
    <mergeCell ref="D9:D10"/>
    <mergeCell ref="D24:D26"/>
    <mergeCell ref="E9:E10"/>
    <mergeCell ref="A11:L11"/>
    <mergeCell ref="D39:D41"/>
    <mergeCell ref="A12:A14"/>
    <mergeCell ref="B12:B14"/>
    <mergeCell ref="D12:D14"/>
    <mergeCell ref="L12:L243"/>
    <mergeCell ref="A33:A35"/>
    <mergeCell ref="B33:B35"/>
    <mergeCell ref="B18:B20"/>
    <mergeCell ref="D27:D29"/>
    <mergeCell ref="A24:A26"/>
    <mergeCell ref="B24:B26"/>
    <mergeCell ref="A5:L5"/>
    <mergeCell ref="A6:L6"/>
    <mergeCell ref="A9:A10"/>
    <mergeCell ref="B9:B10"/>
    <mergeCell ref="C9:C10"/>
    <mergeCell ref="F9:J9"/>
    <mergeCell ref="L9:L10"/>
    <mergeCell ref="K9:K10"/>
    <mergeCell ref="B21:B23"/>
    <mergeCell ref="D21:D23"/>
    <mergeCell ref="A18:A20"/>
    <mergeCell ref="D33:D35"/>
    <mergeCell ref="A30:A32"/>
    <mergeCell ref="B30:B32"/>
    <mergeCell ref="A27:A29"/>
    <mergeCell ref="B27:B29"/>
    <mergeCell ref="A129:A131"/>
    <mergeCell ref="B129:B131"/>
    <mergeCell ref="D129:D131"/>
    <mergeCell ref="A54:A56"/>
    <mergeCell ref="B54:B56"/>
    <mergeCell ref="A36:A38"/>
    <mergeCell ref="B36:B38"/>
    <mergeCell ref="D36:D38"/>
    <mergeCell ref="A87:A89"/>
    <mergeCell ref="B51:B53"/>
    <mergeCell ref="A133:J133"/>
    <mergeCell ref="A69:A71"/>
    <mergeCell ref="B69:B71"/>
    <mergeCell ref="D69:D71"/>
    <mergeCell ref="A90:A92"/>
    <mergeCell ref="B87:B89"/>
    <mergeCell ref="D87:D89"/>
    <mergeCell ref="A78:A80"/>
    <mergeCell ref="A96:A98"/>
    <mergeCell ref="D90:D92"/>
    <mergeCell ref="B84:B86"/>
    <mergeCell ref="A60:A62"/>
    <mergeCell ref="A63:A65"/>
    <mergeCell ref="B75:B77"/>
    <mergeCell ref="A66:A68"/>
    <mergeCell ref="B66:B68"/>
    <mergeCell ref="A134:A136"/>
    <mergeCell ref="B134:B136"/>
    <mergeCell ref="D134:D136"/>
    <mergeCell ref="A140:A142"/>
    <mergeCell ref="B140:B142"/>
    <mergeCell ref="D140:D142"/>
    <mergeCell ref="A137:A139"/>
    <mergeCell ref="B137:B139"/>
    <mergeCell ref="D137:D139"/>
    <mergeCell ref="A143:A145"/>
    <mergeCell ref="B143:B145"/>
    <mergeCell ref="D143:D145"/>
    <mergeCell ref="A146:A148"/>
    <mergeCell ref="B146:B148"/>
    <mergeCell ref="D146:D148"/>
    <mergeCell ref="A149:A151"/>
    <mergeCell ref="B149:B151"/>
    <mergeCell ref="D149:D151"/>
    <mergeCell ref="A152:A154"/>
    <mergeCell ref="B152:B154"/>
    <mergeCell ref="D152:D154"/>
    <mergeCell ref="A160:A162"/>
    <mergeCell ref="B160:B162"/>
    <mergeCell ref="D160:D162"/>
    <mergeCell ref="A156:J156"/>
    <mergeCell ref="A157:A159"/>
    <mergeCell ref="B157:B159"/>
    <mergeCell ref="D157:D159"/>
    <mergeCell ref="A163:A165"/>
    <mergeCell ref="B163:B165"/>
    <mergeCell ref="D163:D165"/>
    <mergeCell ref="A166:A168"/>
    <mergeCell ref="B166:B168"/>
    <mergeCell ref="D166:D168"/>
    <mergeCell ref="A175:A177"/>
    <mergeCell ref="B175:B177"/>
    <mergeCell ref="D175:D177"/>
    <mergeCell ref="A169:A171"/>
    <mergeCell ref="B169:B171"/>
    <mergeCell ref="D169:D171"/>
    <mergeCell ref="A172:A174"/>
    <mergeCell ref="B172:B174"/>
    <mergeCell ref="D172:D174"/>
    <mergeCell ref="A181:A183"/>
    <mergeCell ref="B181:B183"/>
    <mergeCell ref="D181:D183"/>
    <mergeCell ref="A178:A180"/>
    <mergeCell ref="B178:B180"/>
    <mergeCell ref="D178:D180"/>
    <mergeCell ref="A190:A192"/>
    <mergeCell ref="B190:B192"/>
    <mergeCell ref="D190:D192"/>
    <mergeCell ref="A184:A186"/>
    <mergeCell ref="B184:B186"/>
    <mergeCell ref="D184:D186"/>
    <mergeCell ref="A187:A189"/>
    <mergeCell ref="B187:B189"/>
    <mergeCell ref="D187:D189"/>
    <mergeCell ref="A199:A201"/>
    <mergeCell ref="B199:B201"/>
    <mergeCell ref="D199:D201"/>
    <mergeCell ref="A193:A195"/>
    <mergeCell ref="B193:B195"/>
    <mergeCell ref="D193:D195"/>
    <mergeCell ref="A196:A198"/>
    <mergeCell ref="B196:B198"/>
    <mergeCell ref="D196:D198"/>
    <mergeCell ref="A205:A207"/>
    <mergeCell ref="B205:B207"/>
    <mergeCell ref="D205:D207"/>
    <mergeCell ref="A202:A204"/>
    <mergeCell ref="B202:B204"/>
    <mergeCell ref="D202:D204"/>
    <mergeCell ref="A214:A216"/>
    <mergeCell ref="B214:B216"/>
    <mergeCell ref="D214:D216"/>
    <mergeCell ref="A208:A210"/>
    <mergeCell ref="B208:B210"/>
    <mergeCell ref="D208:D210"/>
    <mergeCell ref="A211:A213"/>
    <mergeCell ref="B211:B213"/>
    <mergeCell ref="D211:D213"/>
    <mergeCell ref="A223:A225"/>
    <mergeCell ref="B223:B225"/>
    <mergeCell ref="D223:D225"/>
    <mergeCell ref="A217:A219"/>
    <mergeCell ref="B217:B219"/>
    <mergeCell ref="D217:D219"/>
    <mergeCell ref="A220:A222"/>
    <mergeCell ref="B220:B222"/>
    <mergeCell ref="D220:D222"/>
    <mergeCell ref="A229:A231"/>
    <mergeCell ref="B229:B231"/>
    <mergeCell ref="D229:D231"/>
    <mergeCell ref="A226:A228"/>
    <mergeCell ref="B226:B228"/>
    <mergeCell ref="D226:D228"/>
    <mergeCell ref="A232:A234"/>
    <mergeCell ref="B232:B234"/>
    <mergeCell ref="D232:D234"/>
    <mergeCell ref="A235:A237"/>
    <mergeCell ref="B235:B237"/>
    <mergeCell ref="D235:D237"/>
    <mergeCell ref="D246:D247"/>
    <mergeCell ref="A72:A74"/>
    <mergeCell ref="B72:B74"/>
    <mergeCell ref="D72:D74"/>
    <mergeCell ref="A238:A240"/>
    <mergeCell ref="B238:B240"/>
    <mergeCell ref="D238:D240"/>
    <mergeCell ref="A241:A243"/>
    <mergeCell ref="B241:B243"/>
    <mergeCell ref="D102:D104"/>
    <mergeCell ref="A45:A47"/>
    <mergeCell ref="B45:B47"/>
    <mergeCell ref="A105:A107"/>
    <mergeCell ref="B105:B107"/>
    <mergeCell ref="A57:A59"/>
    <mergeCell ref="B57:B59"/>
    <mergeCell ref="A93:A95"/>
    <mergeCell ref="B93:B95"/>
    <mergeCell ref="A75:A77"/>
    <mergeCell ref="A84:A86"/>
    <mergeCell ref="K75:K77"/>
    <mergeCell ref="A111:A113"/>
    <mergeCell ref="B111:B113"/>
    <mergeCell ref="D111:D113"/>
    <mergeCell ref="D105:D107"/>
    <mergeCell ref="A99:A101"/>
    <mergeCell ref="B99:B101"/>
    <mergeCell ref="D99:D101"/>
    <mergeCell ref="A102:A104"/>
    <mergeCell ref="B102:B104"/>
  </mergeCells>
  <printOptions/>
  <pageMargins left="0.7086614173228347" right="0.11811023622047245" top="0.7480314960629921" bottom="0.7480314960629921" header="0.31496062992125984" footer="0.31496062992125984"/>
  <pageSetup fitToHeight="4" horizontalDpi="600" verticalDpi="6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54"/>
  <sheetViews>
    <sheetView zoomScalePageLayoutView="0" workbookViewId="0" topLeftCell="C152">
      <selection activeCell="B18" sqref="B18:B20"/>
    </sheetView>
  </sheetViews>
  <sheetFormatPr defaultColWidth="11.57421875" defaultRowHeight="12.75"/>
  <cols>
    <col min="1" max="1" width="6.8515625" style="0" customWidth="1"/>
    <col min="2" max="2" width="80.7109375" style="0" customWidth="1"/>
    <col min="3" max="3" width="37.00390625" style="0" customWidth="1"/>
    <col min="4" max="4" width="16.140625" style="0" customWidth="1"/>
    <col min="5" max="5" width="13.57421875" style="0" hidden="1" customWidth="1"/>
    <col min="6" max="6" width="14.7109375" style="0" customWidth="1"/>
    <col min="7" max="7" width="16.140625" style="0" customWidth="1"/>
    <col min="8" max="8" width="15.28125" style="0" customWidth="1"/>
    <col min="9" max="9" width="16.8515625" style="0" customWidth="1"/>
    <col min="10" max="10" width="17.7109375" style="0" customWidth="1"/>
    <col min="11" max="11" width="13.00390625" style="0" customWidth="1"/>
    <col min="12" max="13" width="12.7109375" style="0" customWidth="1"/>
    <col min="14" max="14" width="12.28125" style="0" bestFit="1" customWidth="1"/>
  </cols>
  <sheetData>
    <row r="1" spans="12:13" ht="12.75">
      <c r="L1" s="110" t="s">
        <v>0</v>
      </c>
      <c r="M1" s="110"/>
    </row>
    <row r="2" spans="3:13" ht="12.75">
      <c r="C2" s="261"/>
      <c r="L2" s="110" t="s">
        <v>1</v>
      </c>
      <c r="M2" s="110"/>
    </row>
    <row r="3" spans="12:13" ht="12.75">
      <c r="L3" s="110" t="s">
        <v>2</v>
      </c>
      <c r="M3" s="110"/>
    </row>
    <row r="4" spans="1:13" ht="13.5" customHeight="1">
      <c r="A4" s="1"/>
      <c r="B4" s="1"/>
      <c r="C4" s="1"/>
      <c r="D4" s="1"/>
      <c r="E4" s="6"/>
      <c r="F4" s="1"/>
      <c r="G4" s="1"/>
      <c r="H4" s="1"/>
      <c r="I4" s="1"/>
      <c r="J4" s="1"/>
      <c r="K4" s="1"/>
      <c r="L4" s="111" t="s">
        <v>119</v>
      </c>
      <c r="M4" s="111"/>
    </row>
    <row r="5" spans="1:13" ht="15">
      <c r="A5" s="619" t="s">
        <v>3</v>
      </c>
      <c r="B5" s="619"/>
      <c r="C5" s="619"/>
      <c r="D5" s="619"/>
      <c r="E5" s="619"/>
      <c r="F5" s="619"/>
      <c r="G5" s="619"/>
      <c r="H5" s="619"/>
      <c r="I5" s="619"/>
      <c r="J5" s="619"/>
      <c r="K5" s="619"/>
      <c r="L5" s="619"/>
      <c r="M5" s="336"/>
    </row>
    <row r="6" spans="1:13" ht="15.75" customHeight="1">
      <c r="A6" s="620" t="s">
        <v>4</v>
      </c>
      <c r="B6" s="620"/>
      <c r="C6" s="620"/>
      <c r="D6" s="620"/>
      <c r="E6" s="620"/>
      <c r="F6" s="620"/>
      <c r="G6" s="620"/>
      <c r="H6" s="620"/>
      <c r="I6" s="620"/>
      <c r="J6" s="620"/>
      <c r="K6" s="620"/>
      <c r="L6" s="620"/>
      <c r="M6" s="112"/>
    </row>
    <row r="7" spans="1:13" ht="15.75" customHeight="1">
      <c r="A7" s="112"/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</row>
    <row r="8" spans="1:13" ht="12.75" customHeight="1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4" s="10" customFormat="1" ht="18.75" customHeight="1">
      <c r="A9" s="621" t="s">
        <v>5</v>
      </c>
      <c r="B9" s="622" t="s">
        <v>6</v>
      </c>
      <c r="C9" s="622" t="s">
        <v>7</v>
      </c>
      <c r="D9" s="622" t="s">
        <v>183</v>
      </c>
      <c r="E9" s="735" t="s">
        <v>157</v>
      </c>
      <c r="F9" s="610" t="s">
        <v>10</v>
      </c>
      <c r="G9" s="610"/>
      <c r="H9" s="610"/>
      <c r="I9" s="610"/>
      <c r="J9" s="610"/>
      <c r="K9" s="728" t="s">
        <v>128</v>
      </c>
      <c r="L9" s="623" t="s">
        <v>11</v>
      </c>
      <c r="M9" s="337"/>
      <c r="N9" s="9"/>
    </row>
    <row r="10" spans="1:14" s="10" customFormat="1" ht="47.25" customHeight="1">
      <c r="A10" s="621"/>
      <c r="B10" s="622"/>
      <c r="C10" s="622"/>
      <c r="D10" s="622"/>
      <c r="E10" s="735"/>
      <c r="F10" s="11">
        <v>2011</v>
      </c>
      <c r="G10" s="11">
        <v>2012</v>
      </c>
      <c r="H10" s="11">
        <v>2013</v>
      </c>
      <c r="I10" s="11">
        <v>2014</v>
      </c>
      <c r="J10" s="11">
        <v>2015</v>
      </c>
      <c r="K10" s="729"/>
      <c r="L10" s="623"/>
      <c r="M10" s="337"/>
      <c r="N10" s="9"/>
    </row>
    <row r="11" spans="1:14" s="10" customFormat="1" ht="19.5" customHeight="1" thickBot="1">
      <c r="A11" s="736" t="s">
        <v>12</v>
      </c>
      <c r="B11" s="736"/>
      <c r="C11" s="736"/>
      <c r="D11" s="736"/>
      <c r="E11" s="736"/>
      <c r="F11" s="736"/>
      <c r="G11" s="736"/>
      <c r="H11" s="736"/>
      <c r="I11" s="736"/>
      <c r="J11" s="736"/>
      <c r="K11" s="737"/>
      <c r="L11" s="736"/>
      <c r="M11" s="338"/>
      <c r="N11" s="9"/>
    </row>
    <row r="12" spans="1:14" ht="13.5" customHeight="1" thickBot="1">
      <c r="A12" s="669">
        <v>1</v>
      </c>
      <c r="B12" s="680" t="s">
        <v>109</v>
      </c>
      <c r="C12" s="203" t="s">
        <v>14</v>
      </c>
      <c r="D12" s="673">
        <f>D15+D18</f>
        <v>156474400</v>
      </c>
      <c r="E12" s="279">
        <f aca="true" t="shared" si="0" ref="E12:E65">SUM(F12:J12)</f>
        <v>0</v>
      </c>
      <c r="F12" s="115">
        <f>F15+F18</f>
        <v>0</v>
      </c>
      <c r="G12" s="115">
        <f>G15+G18</f>
        <v>0</v>
      </c>
      <c r="H12" s="115">
        <f>H15+H18</f>
        <v>0</v>
      </c>
      <c r="I12" s="115">
        <f>I15+I18</f>
        <v>0</v>
      </c>
      <c r="J12" s="117">
        <f>J15+J18</f>
        <v>0</v>
      </c>
      <c r="K12" s="118"/>
      <c r="L12" s="627" t="s">
        <v>15</v>
      </c>
      <c r="M12" s="339"/>
      <c r="N12" s="1"/>
    </row>
    <row r="13" spans="1:14" ht="13.5" customHeight="1" thickBot="1">
      <c r="A13" s="669"/>
      <c r="B13" s="680"/>
      <c r="C13" s="205" t="s">
        <v>16</v>
      </c>
      <c r="D13" s="673"/>
      <c r="E13" s="280">
        <f t="shared" si="0"/>
        <v>0</v>
      </c>
      <c r="F13" s="119">
        <v>0</v>
      </c>
      <c r="G13" s="119">
        <f aca="true" t="shared" si="1" ref="G13:J14">G16+G19</f>
        <v>0</v>
      </c>
      <c r="H13" s="119">
        <f t="shared" si="1"/>
        <v>0</v>
      </c>
      <c r="I13" s="119">
        <f t="shared" si="1"/>
        <v>0</v>
      </c>
      <c r="J13" s="121">
        <f t="shared" si="1"/>
        <v>0</v>
      </c>
      <c r="K13" s="122"/>
      <c r="L13" s="627"/>
      <c r="M13" s="339"/>
      <c r="N13" s="1"/>
    </row>
    <row r="14" spans="1:14" ht="15" customHeight="1" thickBot="1">
      <c r="A14" s="669"/>
      <c r="B14" s="680"/>
      <c r="C14" s="207" t="s">
        <v>17</v>
      </c>
      <c r="D14" s="673"/>
      <c r="E14" s="281">
        <f>SUM(F14:J14)-F14</f>
        <v>7504000</v>
      </c>
      <c r="F14" s="119">
        <f>F17+F20</f>
        <v>3752000</v>
      </c>
      <c r="G14" s="119">
        <f>G17+G20</f>
        <v>3752000</v>
      </c>
      <c r="H14" s="123">
        <f t="shared" si="1"/>
        <v>3752000</v>
      </c>
      <c r="I14" s="123">
        <f t="shared" si="1"/>
        <v>0</v>
      </c>
      <c r="J14" s="125">
        <f t="shared" si="1"/>
        <v>0</v>
      </c>
      <c r="K14" s="126"/>
      <c r="L14" s="627"/>
      <c r="M14" s="339"/>
      <c r="N14" s="1"/>
    </row>
    <row r="15" spans="1:14" ht="13.5" customHeight="1" thickBot="1">
      <c r="A15" s="711"/>
      <c r="B15" s="731" t="s">
        <v>18</v>
      </c>
      <c r="C15" s="209" t="s">
        <v>14</v>
      </c>
      <c r="D15" s="732">
        <v>3752000</v>
      </c>
      <c r="E15" s="282">
        <f t="shared" si="0"/>
        <v>0</v>
      </c>
      <c r="F15" s="127">
        <v>0</v>
      </c>
      <c r="G15" s="127">
        <v>0</v>
      </c>
      <c r="H15" s="127">
        <v>0</v>
      </c>
      <c r="I15" s="127">
        <v>0</v>
      </c>
      <c r="J15" s="129">
        <v>0</v>
      </c>
      <c r="K15" s="130"/>
      <c r="L15" s="627"/>
      <c r="M15" s="339"/>
      <c r="N15" s="1"/>
    </row>
    <row r="16" spans="1:14" ht="13.5" thickBot="1">
      <c r="A16" s="711"/>
      <c r="B16" s="731"/>
      <c r="C16" s="210" t="s">
        <v>16</v>
      </c>
      <c r="D16" s="732"/>
      <c r="E16" s="283">
        <f t="shared" si="0"/>
        <v>0</v>
      </c>
      <c r="F16" s="131">
        <v>0</v>
      </c>
      <c r="G16" s="131">
        <v>0</v>
      </c>
      <c r="H16" s="131">
        <v>0</v>
      </c>
      <c r="I16" s="131">
        <v>0</v>
      </c>
      <c r="J16" s="132">
        <v>0</v>
      </c>
      <c r="K16" s="133"/>
      <c r="L16" s="627"/>
      <c r="M16" s="339"/>
      <c r="N16" s="1"/>
    </row>
    <row r="17" spans="1:14" ht="13.5" thickBot="1">
      <c r="A17" s="711"/>
      <c r="B17" s="731"/>
      <c r="C17" s="210" t="s">
        <v>17</v>
      </c>
      <c r="D17" s="732"/>
      <c r="E17" s="284">
        <f>SUM(F17:J17)-F17</f>
        <v>7504000</v>
      </c>
      <c r="F17" s="114">
        <v>3752000</v>
      </c>
      <c r="G17" s="114">
        <v>3752000</v>
      </c>
      <c r="H17" s="135">
        <v>3752000</v>
      </c>
      <c r="I17" s="135">
        <v>0</v>
      </c>
      <c r="J17" s="136">
        <v>0</v>
      </c>
      <c r="K17" s="137"/>
      <c r="L17" s="627"/>
      <c r="M17" s="339"/>
      <c r="N17" s="1"/>
    </row>
    <row r="18" spans="1:14" ht="13.5" thickBot="1">
      <c r="A18" s="711"/>
      <c r="B18" s="731" t="s">
        <v>19</v>
      </c>
      <c r="C18" s="209" t="s">
        <v>14</v>
      </c>
      <c r="D18" s="732">
        <v>152722400</v>
      </c>
      <c r="E18" s="282">
        <f t="shared" si="0"/>
        <v>0</v>
      </c>
      <c r="F18" s="128">
        <v>0</v>
      </c>
      <c r="G18" s="128">
        <v>0</v>
      </c>
      <c r="H18" s="138"/>
      <c r="I18" s="127">
        <v>0</v>
      </c>
      <c r="J18" s="139">
        <v>0</v>
      </c>
      <c r="K18" s="667" t="s">
        <v>129</v>
      </c>
      <c r="L18" s="627"/>
      <c r="M18" s="339"/>
      <c r="N18" s="1"/>
    </row>
    <row r="19" spans="1:14" ht="13.5" thickBot="1">
      <c r="A19" s="711"/>
      <c r="B19" s="731"/>
      <c r="C19" s="210" t="s">
        <v>16</v>
      </c>
      <c r="D19" s="732"/>
      <c r="E19" s="283">
        <f t="shared" si="0"/>
        <v>0</v>
      </c>
      <c r="F19" s="131">
        <v>0</v>
      </c>
      <c r="G19" s="131">
        <v>0</v>
      </c>
      <c r="H19" s="131">
        <v>0</v>
      </c>
      <c r="I19" s="131">
        <v>0</v>
      </c>
      <c r="J19" s="132">
        <v>0</v>
      </c>
      <c r="K19" s="733"/>
      <c r="L19" s="627"/>
      <c r="M19" s="339"/>
      <c r="N19" s="1"/>
    </row>
    <row r="20" spans="1:15" ht="35.25" customHeight="1" thickBot="1">
      <c r="A20" s="711"/>
      <c r="B20" s="731"/>
      <c r="C20" s="210" t="s">
        <v>17</v>
      </c>
      <c r="D20" s="732"/>
      <c r="E20" s="284">
        <f t="shared" si="0"/>
        <v>0</v>
      </c>
      <c r="F20" s="134">
        <v>0</v>
      </c>
      <c r="G20" s="134">
        <v>0</v>
      </c>
      <c r="H20" s="134">
        <v>0</v>
      </c>
      <c r="I20" s="134">
        <v>0</v>
      </c>
      <c r="J20" s="136">
        <v>0</v>
      </c>
      <c r="K20" s="734"/>
      <c r="L20" s="627"/>
      <c r="M20" s="339"/>
      <c r="N20" s="1"/>
      <c r="O20" s="261"/>
    </row>
    <row r="21" spans="1:14" ht="13.5" customHeight="1" thickBot="1">
      <c r="A21" s="669">
        <v>2</v>
      </c>
      <c r="B21" s="680" t="s">
        <v>110</v>
      </c>
      <c r="C21" s="203" t="s">
        <v>14</v>
      </c>
      <c r="D21" s="673">
        <f>D24+D27</f>
        <v>150629419.35</v>
      </c>
      <c r="E21" s="279">
        <f t="shared" si="0"/>
        <v>2629419.35</v>
      </c>
      <c r="F21" s="115">
        <f>F24+F27</f>
        <v>0</v>
      </c>
      <c r="G21" s="115">
        <f>G24+G27</f>
        <v>0</v>
      </c>
      <c r="H21" s="115">
        <f>H24+H27</f>
        <v>0</v>
      </c>
      <c r="I21" s="115">
        <f>I24+I27</f>
        <v>2629419.35</v>
      </c>
      <c r="J21" s="117">
        <f>J24+J27</f>
        <v>0</v>
      </c>
      <c r="K21" s="118"/>
      <c r="L21" s="627"/>
      <c r="M21" s="339"/>
      <c r="N21" s="1"/>
    </row>
    <row r="22" spans="1:14" ht="13.5" customHeight="1" thickBot="1">
      <c r="A22" s="669"/>
      <c r="B22" s="680"/>
      <c r="C22" s="205" t="s">
        <v>16</v>
      </c>
      <c r="D22" s="673"/>
      <c r="E22" s="280">
        <f t="shared" si="0"/>
        <v>0</v>
      </c>
      <c r="F22" s="119">
        <v>0</v>
      </c>
      <c r="G22" s="119">
        <f aca="true" t="shared" si="2" ref="G22:J23">G25+G28</f>
        <v>0</v>
      </c>
      <c r="H22" s="119">
        <f t="shared" si="2"/>
        <v>0</v>
      </c>
      <c r="I22" s="119">
        <f t="shared" si="2"/>
        <v>0</v>
      </c>
      <c r="J22" s="121">
        <f t="shared" si="2"/>
        <v>0</v>
      </c>
      <c r="K22" s="122"/>
      <c r="L22" s="627"/>
      <c r="M22" s="339"/>
      <c r="N22" s="1"/>
    </row>
    <row r="23" spans="1:14" ht="15.75" customHeight="1" thickBot="1">
      <c r="A23" s="669"/>
      <c r="B23" s="680"/>
      <c r="C23" s="207" t="s">
        <v>17</v>
      </c>
      <c r="D23" s="673"/>
      <c r="E23" s="281">
        <f t="shared" si="0"/>
        <v>0</v>
      </c>
      <c r="F23" s="119">
        <f>F26+F29</f>
        <v>0</v>
      </c>
      <c r="G23" s="119">
        <f t="shared" si="2"/>
        <v>0</v>
      </c>
      <c r="H23" s="123">
        <f t="shared" si="2"/>
        <v>0</v>
      </c>
      <c r="I23" s="123">
        <f t="shared" si="2"/>
        <v>0</v>
      </c>
      <c r="J23" s="125">
        <f t="shared" si="2"/>
        <v>0</v>
      </c>
      <c r="K23" s="126"/>
      <c r="L23" s="627"/>
      <c r="M23" s="339"/>
      <c r="N23" s="1"/>
    </row>
    <row r="24" spans="1:14" ht="13.5" thickBot="1">
      <c r="A24" s="711"/>
      <c r="B24" s="731" t="s">
        <v>91</v>
      </c>
      <c r="C24" s="209" t="s">
        <v>14</v>
      </c>
      <c r="D24" s="732">
        <f>E24+E25+E26</f>
        <v>2629419.35</v>
      </c>
      <c r="E24" s="282">
        <f t="shared" si="0"/>
        <v>2629419.35</v>
      </c>
      <c r="F24" s="128">
        <v>0</v>
      </c>
      <c r="G24" s="128">
        <v>0</v>
      </c>
      <c r="H24" s="138">
        <v>0</v>
      </c>
      <c r="I24" s="127">
        <v>2629419.35</v>
      </c>
      <c r="J24" s="139">
        <v>0</v>
      </c>
      <c r="K24" s="140"/>
      <c r="L24" s="627"/>
      <c r="M24" s="339"/>
      <c r="N24" s="1"/>
    </row>
    <row r="25" spans="1:14" ht="13.5" thickBot="1">
      <c r="A25" s="711"/>
      <c r="B25" s="731"/>
      <c r="C25" s="210" t="s">
        <v>16</v>
      </c>
      <c r="D25" s="732"/>
      <c r="E25" s="283">
        <f t="shared" si="0"/>
        <v>0</v>
      </c>
      <c r="F25" s="131">
        <v>0</v>
      </c>
      <c r="G25" s="131">
        <v>0</v>
      </c>
      <c r="H25" s="131">
        <v>0</v>
      </c>
      <c r="I25" s="131">
        <v>0</v>
      </c>
      <c r="J25" s="132">
        <v>0</v>
      </c>
      <c r="K25" s="133"/>
      <c r="L25" s="627"/>
      <c r="M25" s="339"/>
      <c r="N25" s="1"/>
    </row>
    <row r="26" spans="1:14" ht="13.5" customHeight="1" thickBot="1">
      <c r="A26" s="711"/>
      <c r="B26" s="731"/>
      <c r="C26" s="210" t="s">
        <v>17</v>
      </c>
      <c r="D26" s="732"/>
      <c r="E26" s="284">
        <f t="shared" si="0"/>
        <v>0</v>
      </c>
      <c r="F26" s="134">
        <v>0</v>
      </c>
      <c r="G26" s="134">
        <v>0</v>
      </c>
      <c r="H26" s="134">
        <v>0</v>
      </c>
      <c r="I26" s="134">
        <v>0</v>
      </c>
      <c r="J26" s="136">
        <v>0</v>
      </c>
      <c r="K26" s="137"/>
      <c r="L26" s="627"/>
      <c r="M26" s="339"/>
      <c r="N26" s="1"/>
    </row>
    <row r="27" spans="1:14" ht="13.5" thickBot="1">
      <c r="A27" s="711"/>
      <c r="B27" s="725" t="s">
        <v>92</v>
      </c>
      <c r="C27" s="209" t="s">
        <v>14</v>
      </c>
      <c r="D27" s="732">
        <v>148000000</v>
      </c>
      <c r="E27" s="282">
        <f t="shared" si="0"/>
        <v>0</v>
      </c>
      <c r="F27" s="128">
        <v>0</v>
      </c>
      <c r="G27" s="128">
        <v>0</v>
      </c>
      <c r="H27" s="128">
        <v>0</v>
      </c>
      <c r="I27" s="127">
        <v>0</v>
      </c>
      <c r="J27" s="139">
        <v>0</v>
      </c>
      <c r="K27" s="667" t="s">
        <v>129</v>
      </c>
      <c r="L27" s="627"/>
      <c r="M27" s="339"/>
      <c r="N27" s="1"/>
    </row>
    <row r="28" spans="1:14" ht="13.5" thickBot="1">
      <c r="A28" s="711"/>
      <c r="B28" s="726"/>
      <c r="C28" s="210" t="s">
        <v>16</v>
      </c>
      <c r="D28" s="732"/>
      <c r="E28" s="283">
        <f t="shared" si="0"/>
        <v>0</v>
      </c>
      <c r="F28" s="131">
        <v>0</v>
      </c>
      <c r="G28" s="131">
        <v>0</v>
      </c>
      <c r="H28" s="131">
        <v>0</v>
      </c>
      <c r="I28" s="141">
        <v>0</v>
      </c>
      <c r="J28" s="132">
        <v>0</v>
      </c>
      <c r="K28" s="733"/>
      <c r="L28" s="627"/>
      <c r="M28" s="339"/>
      <c r="N28" s="1"/>
    </row>
    <row r="29" spans="1:14" ht="32.25" customHeight="1" thickBot="1">
      <c r="A29" s="711"/>
      <c r="B29" s="727"/>
      <c r="C29" s="210" t="s">
        <v>17</v>
      </c>
      <c r="D29" s="732"/>
      <c r="E29" s="284">
        <f t="shared" si="0"/>
        <v>0</v>
      </c>
      <c r="F29" s="134">
        <v>0</v>
      </c>
      <c r="G29" s="134">
        <v>0</v>
      </c>
      <c r="H29" s="134">
        <v>0</v>
      </c>
      <c r="I29" s="134">
        <v>0</v>
      </c>
      <c r="J29" s="136">
        <v>0</v>
      </c>
      <c r="K29" s="734"/>
      <c r="L29" s="627"/>
      <c r="M29" s="339"/>
      <c r="N29" s="1"/>
    </row>
    <row r="30" spans="1:14" s="10" customFormat="1" ht="12.75" customHeight="1" thickBot="1">
      <c r="A30" s="669">
        <v>3</v>
      </c>
      <c r="B30" s="680" t="s">
        <v>21</v>
      </c>
      <c r="C30" s="203" t="s">
        <v>14</v>
      </c>
      <c r="D30" s="681">
        <f>E30+E31+E32</f>
        <v>49768975.98</v>
      </c>
      <c r="E30" s="279">
        <f t="shared" si="0"/>
        <v>0</v>
      </c>
      <c r="F30" s="115">
        <v>0</v>
      </c>
      <c r="G30" s="115">
        <v>0</v>
      </c>
      <c r="H30" s="115">
        <v>0</v>
      </c>
      <c r="I30" s="115">
        <v>0</v>
      </c>
      <c r="J30" s="117">
        <v>0</v>
      </c>
      <c r="K30" s="118"/>
      <c r="L30" s="627"/>
      <c r="M30" s="339"/>
      <c r="N30" s="9"/>
    </row>
    <row r="31" spans="1:14" s="10" customFormat="1" ht="12.75" customHeight="1" thickBot="1">
      <c r="A31" s="669"/>
      <c r="B31" s="680"/>
      <c r="C31" s="205" t="s">
        <v>16</v>
      </c>
      <c r="D31" s="681"/>
      <c r="E31" s="285">
        <f t="shared" si="0"/>
        <v>0</v>
      </c>
      <c r="F31" s="119">
        <v>0</v>
      </c>
      <c r="G31" s="119">
        <v>0</v>
      </c>
      <c r="H31" s="119">
        <v>0</v>
      </c>
      <c r="I31" s="119">
        <v>0</v>
      </c>
      <c r="J31" s="121">
        <v>0</v>
      </c>
      <c r="K31" s="122"/>
      <c r="L31" s="627"/>
      <c r="M31" s="339"/>
      <c r="N31" s="9"/>
    </row>
    <row r="32" spans="1:14" s="10" customFormat="1" ht="13.5" customHeight="1" thickBot="1">
      <c r="A32" s="669"/>
      <c r="B32" s="680"/>
      <c r="C32" s="207" t="s">
        <v>17</v>
      </c>
      <c r="D32" s="681"/>
      <c r="E32" s="281">
        <f t="shared" si="0"/>
        <v>49768975.98</v>
      </c>
      <c r="F32" s="123">
        <v>0</v>
      </c>
      <c r="G32" s="123">
        <v>49768975.98</v>
      </c>
      <c r="H32" s="123">
        <v>0</v>
      </c>
      <c r="I32" s="123">
        <v>0</v>
      </c>
      <c r="J32" s="125">
        <v>0</v>
      </c>
      <c r="K32" s="126"/>
      <c r="L32" s="627"/>
      <c r="M32" s="339"/>
      <c r="N32" s="9"/>
    </row>
    <row r="33" spans="1:14" s="10" customFormat="1" ht="13.5" customHeight="1" thickBot="1">
      <c r="A33" s="669">
        <v>4</v>
      </c>
      <c r="B33" s="680" t="s">
        <v>84</v>
      </c>
      <c r="C33" s="203" t="s">
        <v>14</v>
      </c>
      <c r="D33" s="681">
        <f>G33</f>
        <v>1756768.66</v>
      </c>
      <c r="E33" s="279">
        <f t="shared" si="0"/>
        <v>1756768.66</v>
      </c>
      <c r="F33" s="115">
        <v>0</v>
      </c>
      <c r="G33" s="119">
        <v>1756768.66</v>
      </c>
      <c r="H33" s="115">
        <v>0</v>
      </c>
      <c r="I33" s="115">
        <v>0</v>
      </c>
      <c r="J33" s="117">
        <v>0</v>
      </c>
      <c r="K33" s="118"/>
      <c r="L33" s="627"/>
      <c r="M33" s="339"/>
      <c r="N33" s="9"/>
    </row>
    <row r="34" spans="1:14" s="10" customFormat="1" ht="13.5" thickBot="1">
      <c r="A34" s="669"/>
      <c r="B34" s="680"/>
      <c r="C34" s="205" t="s">
        <v>16</v>
      </c>
      <c r="D34" s="681"/>
      <c r="E34" s="280">
        <f t="shared" si="0"/>
        <v>0</v>
      </c>
      <c r="F34" s="119">
        <f>SUM(G34:L34)</f>
        <v>0</v>
      </c>
      <c r="G34" s="119">
        <v>0</v>
      </c>
      <c r="H34" s="119">
        <v>0</v>
      </c>
      <c r="I34" s="119">
        <v>0</v>
      </c>
      <c r="J34" s="121">
        <v>0</v>
      </c>
      <c r="K34" s="122"/>
      <c r="L34" s="627"/>
      <c r="M34" s="339"/>
      <c r="N34" s="9"/>
    </row>
    <row r="35" spans="1:14" s="10" customFormat="1" ht="13.5" thickBot="1">
      <c r="A35" s="669"/>
      <c r="B35" s="680"/>
      <c r="C35" s="207" t="s">
        <v>17</v>
      </c>
      <c r="D35" s="681"/>
      <c r="E35" s="281">
        <f t="shared" si="0"/>
        <v>0</v>
      </c>
      <c r="F35" s="123">
        <v>0</v>
      </c>
      <c r="G35" s="123">
        <v>0</v>
      </c>
      <c r="H35" s="123">
        <v>0</v>
      </c>
      <c r="I35" s="123">
        <v>0</v>
      </c>
      <c r="J35" s="125">
        <v>0</v>
      </c>
      <c r="K35" s="126"/>
      <c r="L35" s="627"/>
      <c r="M35" s="339"/>
      <c r="N35" s="264"/>
    </row>
    <row r="36" spans="1:14" s="10" customFormat="1" ht="13.5" customHeight="1" thickBot="1">
      <c r="A36" s="669">
        <v>5</v>
      </c>
      <c r="B36" s="680" t="s">
        <v>22</v>
      </c>
      <c r="C36" s="203" t="s">
        <v>14</v>
      </c>
      <c r="D36" s="681">
        <f>E36+E37+E38</f>
        <v>855064.1799999999</v>
      </c>
      <c r="E36" s="279">
        <f t="shared" si="0"/>
        <v>301419.48000000004</v>
      </c>
      <c r="F36" s="115">
        <f aca="true" t="shared" si="3" ref="F36:J38">F39+F42</f>
        <v>0</v>
      </c>
      <c r="G36" s="115">
        <f>G39+G42+G45</f>
        <v>0</v>
      </c>
      <c r="H36" s="115">
        <f>H39+H42+H45</f>
        <v>12393.46</v>
      </c>
      <c r="I36" s="115">
        <f>I39+I42+I45</f>
        <v>289026.02</v>
      </c>
      <c r="J36" s="117">
        <f>J39+J42+J45</f>
        <v>0</v>
      </c>
      <c r="K36" s="118"/>
      <c r="L36" s="627"/>
      <c r="M36" s="339"/>
      <c r="N36" s="9"/>
    </row>
    <row r="37" spans="1:14" s="10" customFormat="1" ht="13.5" thickBot="1">
      <c r="A37" s="669"/>
      <c r="B37" s="680"/>
      <c r="C37" s="205" t="s">
        <v>16</v>
      </c>
      <c r="D37" s="681"/>
      <c r="E37" s="280">
        <f t="shared" si="0"/>
        <v>553644.7</v>
      </c>
      <c r="F37" s="119">
        <f t="shared" si="3"/>
        <v>0</v>
      </c>
      <c r="G37" s="119">
        <f t="shared" si="3"/>
        <v>318168.96</v>
      </c>
      <c r="H37" s="119">
        <f>H40+H43+H46</f>
        <v>235475.74</v>
      </c>
      <c r="I37" s="119">
        <f t="shared" si="3"/>
        <v>0</v>
      </c>
      <c r="J37" s="121">
        <f t="shared" si="3"/>
        <v>0</v>
      </c>
      <c r="K37" s="122"/>
      <c r="L37" s="627"/>
      <c r="M37" s="339"/>
      <c r="N37" s="9"/>
    </row>
    <row r="38" spans="1:15" s="10" customFormat="1" ht="13.5" thickBot="1">
      <c r="A38" s="669"/>
      <c r="B38" s="680"/>
      <c r="C38" s="207" t="s">
        <v>17</v>
      </c>
      <c r="D38" s="681"/>
      <c r="E38" s="281">
        <f t="shared" si="0"/>
        <v>0</v>
      </c>
      <c r="F38" s="123">
        <f t="shared" si="3"/>
        <v>0</v>
      </c>
      <c r="G38" s="123">
        <f t="shared" si="3"/>
        <v>0</v>
      </c>
      <c r="H38" s="123">
        <v>0</v>
      </c>
      <c r="I38" s="123">
        <f t="shared" si="3"/>
        <v>0</v>
      </c>
      <c r="J38" s="125">
        <f t="shared" si="3"/>
        <v>0</v>
      </c>
      <c r="K38" s="126"/>
      <c r="L38" s="627"/>
      <c r="M38" s="339"/>
      <c r="N38" s="9"/>
      <c r="O38" s="278"/>
    </row>
    <row r="39" spans="1:15" s="10" customFormat="1" ht="13.5" customHeight="1" thickBot="1">
      <c r="A39" s="677"/>
      <c r="B39" s="678" t="s">
        <v>113</v>
      </c>
      <c r="C39" s="212" t="s">
        <v>14</v>
      </c>
      <c r="D39" s="738">
        <f>H39+H40</f>
        <v>0</v>
      </c>
      <c r="E39" s="286">
        <f t="shared" si="0"/>
        <v>289026.02</v>
      </c>
      <c r="F39" s="142">
        <v>0</v>
      </c>
      <c r="G39" s="142">
        <v>0</v>
      </c>
      <c r="H39" s="142">
        <v>0</v>
      </c>
      <c r="I39" s="142">
        <v>289026.02</v>
      </c>
      <c r="J39" s="143">
        <v>0</v>
      </c>
      <c r="K39" s="744"/>
      <c r="L39" s="627"/>
      <c r="M39" s="339"/>
      <c r="N39" s="264"/>
      <c r="O39" s="278"/>
    </row>
    <row r="40" spans="1:14" s="10" customFormat="1" ht="13.5" thickBot="1">
      <c r="A40" s="677"/>
      <c r="B40" s="678"/>
      <c r="C40" s="213" t="s">
        <v>16</v>
      </c>
      <c r="D40" s="738"/>
      <c r="E40" s="287">
        <f t="shared" si="0"/>
        <v>0</v>
      </c>
      <c r="F40" s="145">
        <v>0</v>
      </c>
      <c r="G40" s="145">
        <v>0</v>
      </c>
      <c r="H40" s="145">
        <v>0</v>
      </c>
      <c r="I40" s="145">
        <v>0</v>
      </c>
      <c r="J40" s="146">
        <v>0</v>
      </c>
      <c r="K40" s="745"/>
      <c r="L40" s="627"/>
      <c r="M40" s="339"/>
      <c r="N40" s="9"/>
    </row>
    <row r="41" spans="1:15" s="10" customFormat="1" ht="13.5" thickBot="1">
      <c r="A41" s="677"/>
      <c r="B41" s="678"/>
      <c r="C41" s="214" t="s">
        <v>17</v>
      </c>
      <c r="D41" s="738"/>
      <c r="E41" s="288">
        <f t="shared" si="0"/>
        <v>0</v>
      </c>
      <c r="F41" s="148">
        <v>0</v>
      </c>
      <c r="G41" s="148">
        <v>0</v>
      </c>
      <c r="H41" s="148">
        <v>0</v>
      </c>
      <c r="I41" s="148">
        <v>0</v>
      </c>
      <c r="J41" s="149">
        <v>0</v>
      </c>
      <c r="K41" s="746"/>
      <c r="L41" s="627"/>
      <c r="M41" s="339"/>
      <c r="N41" s="327"/>
      <c r="O41" s="328"/>
    </row>
    <row r="42" spans="1:15" s="10" customFormat="1" ht="13.5" customHeight="1" thickBot="1">
      <c r="A42" s="677"/>
      <c r="B42" s="678" t="s">
        <v>112</v>
      </c>
      <c r="C42" s="212" t="s">
        <v>14</v>
      </c>
      <c r="D42" s="738">
        <f>E42+E43+E44</f>
        <v>318168.96</v>
      </c>
      <c r="E42" s="286">
        <f t="shared" si="0"/>
        <v>0</v>
      </c>
      <c r="F42" s="142">
        <v>0</v>
      </c>
      <c r="G42" s="142">
        <v>0</v>
      </c>
      <c r="H42" s="142">
        <v>0</v>
      </c>
      <c r="I42" s="142">
        <v>0</v>
      </c>
      <c r="J42" s="143">
        <v>0</v>
      </c>
      <c r="K42" s="144"/>
      <c r="L42" s="627"/>
      <c r="M42" s="339"/>
      <c r="N42" s="327"/>
      <c r="O42" s="329"/>
    </row>
    <row r="43" spans="1:15" s="10" customFormat="1" ht="13.5" thickBot="1">
      <c r="A43" s="677"/>
      <c r="B43" s="678"/>
      <c r="C43" s="213" t="s">
        <v>16</v>
      </c>
      <c r="D43" s="738"/>
      <c r="E43" s="287">
        <f t="shared" si="0"/>
        <v>318168.96</v>
      </c>
      <c r="F43" s="145">
        <v>0</v>
      </c>
      <c r="G43" s="145">
        <f>379349.96-G88</f>
        <v>318168.96</v>
      </c>
      <c r="H43" s="145">
        <v>0</v>
      </c>
      <c r="I43" s="145">
        <v>0</v>
      </c>
      <c r="J43" s="146">
        <v>0</v>
      </c>
      <c r="K43" s="147"/>
      <c r="L43" s="627"/>
      <c r="M43" s="339"/>
      <c r="N43" s="330"/>
      <c r="O43" s="329"/>
    </row>
    <row r="44" spans="1:15" s="10" customFormat="1" ht="13.5" thickBot="1">
      <c r="A44" s="677"/>
      <c r="B44" s="678"/>
      <c r="C44" s="214" t="s">
        <v>17</v>
      </c>
      <c r="D44" s="738"/>
      <c r="E44" s="288">
        <f t="shared" si="0"/>
        <v>0</v>
      </c>
      <c r="F44" s="148">
        <v>0</v>
      </c>
      <c r="G44" s="148">
        <v>0</v>
      </c>
      <c r="H44" s="148">
        <v>0</v>
      </c>
      <c r="I44" s="148">
        <v>0</v>
      </c>
      <c r="J44" s="149">
        <v>0</v>
      </c>
      <c r="K44" s="150"/>
      <c r="L44" s="627"/>
      <c r="M44" s="339"/>
      <c r="N44" s="327"/>
      <c r="O44" s="329"/>
    </row>
    <row r="45" spans="1:15" s="10" customFormat="1" ht="13.5" thickBot="1">
      <c r="A45" s="752"/>
      <c r="B45" s="753" t="s">
        <v>116</v>
      </c>
      <c r="C45" s="212" t="s">
        <v>14</v>
      </c>
      <c r="D45" s="754">
        <f>H45+H46</f>
        <v>247869.19999999998</v>
      </c>
      <c r="E45" s="286">
        <f>SUM(F45:J45)</f>
        <v>12393.46</v>
      </c>
      <c r="F45" s="142">
        <v>0</v>
      </c>
      <c r="G45" s="142">
        <v>0</v>
      </c>
      <c r="H45" s="345">
        <f>ROUND((242630+5239.2)*5/100,2)</f>
        <v>12393.46</v>
      </c>
      <c r="I45" s="142">
        <v>0</v>
      </c>
      <c r="J45" s="143">
        <v>0</v>
      </c>
      <c r="K45" s="144"/>
      <c r="L45" s="627"/>
      <c r="M45" s="348">
        <f>'[1]27.08.2013'!$H$45-H45</f>
        <v>202.20000000000073</v>
      </c>
      <c r="N45" s="330">
        <f>'[1]27.08.2013'!$H$45-H45</f>
        <v>202.20000000000073</v>
      </c>
      <c r="O45" s="329"/>
    </row>
    <row r="46" spans="1:15" s="10" customFormat="1" ht="13.5" thickBot="1">
      <c r="A46" s="752"/>
      <c r="B46" s="753"/>
      <c r="C46" s="213" t="s">
        <v>16</v>
      </c>
      <c r="D46" s="754"/>
      <c r="E46" s="287">
        <f>SUM(F46:J46)</f>
        <v>235475.74</v>
      </c>
      <c r="F46" s="145">
        <v>0</v>
      </c>
      <c r="G46" s="145">
        <v>0</v>
      </c>
      <c r="H46" s="346">
        <f>ROUND((242630+5239.2)*95/100,2)</f>
        <v>235475.74</v>
      </c>
      <c r="I46" s="145">
        <v>0</v>
      </c>
      <c r="J46" s="146">
        <v>0</v>
      </c>
      <c r="K46" s="147"/>
      <c r="L46" s="627"/>
      <c r="M46" s="340">
        <f>'[1]27.08.2013'!$H$46-H46</f>
        <v>12608.97000000003</v>
      </c>
      <c r="N46" s="330">
        <f>'[1]27.08.2013'!$H$46-H46</f>
        <v>12608.97000000003</v>
      </c>
      <c r="O46" s="329"/>
    </row>
    <row r="47" spans="1:14" s="10" customFormat="1" ht="12.75" customHeight="1" thickBot="1">
      <c r="A47" s="752"/>
      <c r="B47" s="753"/>
      <c r="C47" s="214" t="s">
        <v>17</v>
      </c>
      <c r="D47" s="754"/>
      <c r="E47" s="288">
        <f>SUM(F47:J47)</f>
        <v>0</v>
      </c>
      <c r="F47" s="148">
        <v>0</v>
      </c>
      <c r="G47" s="148">
        <v>0</v>
      </c>
      <c r="H47" s="347">
        <v>0</v>
      </c>
      <c r="I47" s="148">
        <v>0</v>
      </c>
      <c r="J47" s="149">
        <v>0</v>
      </c>
      <c r="K47" s="150"/>
      <c r="L47" s="627"/>
      <c r="M47" s="339"/>
      <c r="N47" s="9"/>
    </row>
    <row r="48" spans="1:14" s="10" customFormat="1" ht="12.75" customHeight="1" hidden="1">
      <c r="A48" s="669">
        <v>6</v>
      </c>
      <c r="B48" s="680" t="s">
        <v>86</v>
      </c>
      <c r="C48" s="203" t="s">
        <v>14</v>
      </c>
      <c r="D48" s="681">
        <f>E48+E49+E50</f>
        <v>0</v>
      </c>
      <c r="E48" s="279">
        <f t="shared" si="0"/>
        <v>0</v>
      </c>
      <c r="F48" s="116">
        <v>0</v>
      </c>
      <c r="G48" s="115">
        <v>0</v>
      </c>
      <c r="H48" s="115">
        <v>0</v>
      </c>
      <c r="I48" s="115">
        <v>0</v>
      </c>
      <c r="J48" s="117">
        <v>0</v>
      </c>
      <c r="K48" s="118"/>
      <c r="L48" s="627"/>
      <c r="M48" s="339"/>
      <c r="N48" s="9"/>
    </row>
    <row r="49" spans="1:14" s="10" customFormat="1" ht="12" customHeight="1" hidden="1">
      <c r="A49" s="669"/>
      <c r="B49" s="680"/>
      <c r="C49" s="205" t="s">
        <v>16</v>
      </c>
      <c r="D49" s="681"/>
      <c r="E49" s="280">
        <f t="shared" si="0"/>
        <v>0</v>
      </c>
      <c r="F49" s="120">
        <v>0</v>
      </c>
      <c r="G49" s="119">
        <v>0</v>
      </c>
      <c r="H49" s="119">
        <v>0</v>
      </c>
      <c r="I49" s="119">
        <v>0</v>
      </c>
      <c r="J49" s="121">
        <v>0</v>
      </c>
      <c r="K49" s="122"/>
      <c r="L49" s="627"/>
      <c r="M49" s="339"/>
      <c r="N49" s="9"/>
    </row>
    <row r="50" spans="1:14" s="10" customFormat="1" ht="12.75" customHeight="1" hidden="1">
      <c r="A50" s="669"/>
      <c r="B50" s="680"/>
      <c r="C50" s="207" t="s">
        <v>17</v>
      </c>
      <c r="D50" s="681"/>
      <c r="E50" s="281">
        <f t="shared" si="0"/>
        <v>0</v>
      </c>
      <c r="F50" s="236">
        <v>0</v>
      </c>
      <c r="G50" s="236"/>
      <c r="H50" s="123">
        <v>0</v>
      </c>
      <c r="I50" s="123">
        <v>0</v>
      </c>
      <c r="J50" s="125">
        <v>0</v>
      </c>
      <c r="K50" s="126"/>
      <c r="L50" s="627"/>
      <c r="M50" s="339"/>
      <c r="N50" s="9"/>
    </row>
    <row r="51" spans="1:15" ht="12.75" customHeight="1" thickBot="1">
      <c r="A51" s="669" t="s">
        <v>158</v>
      </c>
      <c r="B51" s="680" t="s">
        <v>82</v>
      </c>
      <c r="C51" s="203" t="s">
        <v>25</v>
      </c>
      <c r="D51" s="151"/>
      <c r="E51" s="289">
        <f t="shared" si="0"/>
        <v>2342501.01</v>
      </c>
      <c r="F51" s="256">
        <f>2342501.01</f>
        <v>2342501.01</v>
      </c>
      <c r="G51" s="256">
        <v>0</v>
      </c>
      <c r="H51" s="267">
        <v>0</v>
      </c>
      <c r="I51" s="115">
        <v>0</v>
      </c>
      <c r="J51" s="117">
        <v>0</v>
      </c>
      <c r="K51" s="118"/>
      <c r="L51" s="627"/>
      <c r="M51" s="339"/>
      <c r="N51" s="9"/>
      <c r="O51" s="1"/>
    </row>
    <row r="52" spans="1:15" ht="15.75" customHeight="1" thickBot="1">
      <c r="A52" s="669"/>
      <c r="B52" s="680"/>
      <c r="C52" s="205" t="s">
        <v>16</v>
      </c>
      <c r="D52" s="152">
        <f>E51+E52+E53</f>
        <v>2342501.01</v>
      </c>
      <c r="E52" s="290">
        <f t="shared" si="0"/>
        <v>0</v>
      </c>
      <c r="F52" s="270">
        <v>0</v>
      </c>
      <c r="G52" s="258">
        <v>0</v>
      </c>
      <c r="H52" s="268">
        <v>0</v>
      </c>
      <c r="I52" s="119">
        <v>0</v>
      </c>
      <c r="J52" s="121">
        <v>0</v>
      </c>
      <c r="K52" s="122"/>
      <c r="L52" s="627"/>
      <c r="M52" s="339"/>
      <c r="N52" s="44"/>
      <c r="O52" s="1"/>
    </row>
    <row r="53" spans="1:15" ht="13.5" thickBot="1">
      <c r="A53" s="669"/>
      <c r="B53" s="680"/>
      <c r="C53" s="239" t="s">
        <v>17</v>
      </c>
      <c r="D53" s="235"/>
      <c r="E53" s="291">
        <f t="shared" si="0"/>
        <v>0</v>
      </c>
      <c r="F53" s="271">
        <v>0</v>
      </c>
      <c r="G53" s="260">
        <v>0</v>
      </c>
      <c r="H53" s="269">
        <v>0</v>
      </c>
      <c r="I53" s="240">
        <v>0</v>
      </c>
      <c r="J53" s="247">
        <v>0</v>
      </c>
      <c r="K53" s="126"/>
      <c r="L53" s="627"/>
      <c r="M53" s="339"/>
      <c r="N53" s="44"/>
      <c r="O53" s="1"/>
    </row>
    <row r="54" spans="1:14" s="56" customFormat="1" ht="13.5" customHeight="1" thickBot="1">
      <c r="A54" s="669" t="s">
        <v>159</v>
      </c>
      <c r="B54" s="679" t="s">
        <v>83</v>
      </c>
      <c r="C54" s="244" t="s">
        <v>25</v>
      </c>
      <c r="D54" s="739">
        <f>E54+E55+E56</f>
        <v>4311271.74</v>
      </c>
      <c r="E54" s="292">
        <f t="shared" si="0"/>
        <v>4311271.74</v>
      </c>
      <c r="F54" s="256">
        <f>4141866.08+169405.66</f>
        <v>4311271.74</v>
      </c>
      <c r="G54" s="248">
        <v>0</v>
      </c>
      <c r="H54" s="248">
        <v>0</v>
      </c>
      <c r="I54" s="248">
        <v>0</v>
      </c>
      <c r="J54" s="250">
        <v>0</v>
      </c>
      <c r="K54" s="153"/>
      <c r="L54" s="627"/>
      <c r="M54" s="339"/>
      <c r="N54" s="55"/>
    </row>
    <row r="55" spans="1:14" s="56" customFormat="1" ht="13.5" thickBot="1">
      <c r="A55" s="669"/>
      <c r="B55" s="679"/>
      <c r="C55" s="245" t="s">
        <v>16</v>
      </c>
      <c r="D55" s="740"/>
      <c r="E55" s="290">
        <f t="shared" si="0"/>
        <v>0</v>
      </c>
      <c r="F55" s="270">
        <v>0</v>
      </c>
      <c r="G55" s="120">
        <v>0</v>
      </c>
      <c r="H55" s="120">
        <v>0</v>
      </c>
      <c r="I55" s="120">
        <v>0</v>
      </c>
      <c r="J55" s="251">
        <v>0</v>
      </c>
      <c r="K55" s="155"/>
      <c r="L55" s="627"/>
      <c r="M55" s="339"/>
      <c r="N55" s="55"/>
    </row>
    <row r="56" spans="1:14" s="56" customFormat="1" ht="13.5" thickBot="1">
      <c r="A56" s="669"/>
      <c r="B56" s="679"/>
      <c r="C56" s="246" t="s">
        <v>17</v>
      </c>
      <c r="D56" s="741"/>
      <c r="E56" s="293">
        <f t="shared" si="0"/>
        <v>0</v>
      </c>
      <c r="F56" s="275">
        <v>0</v>
      </c>
      <c r="G56" s="252">
        <v>0</v>
      </c>
      <c r="H56" s="252">
        <v>0</v>
      </c>
      <c r="I56" s="252">
        <v>0</v>
      </c>
      <c r="J56" s="254">
        <v>0</v>
      </c>
      <c r="K56" s="238"/>
      <c r="L56" s="627"/>
      <c r="M56" s="339"/>
      <c r="N56" s="55"/>
    </row>
    <row r="57" spans="1:14" s="56" customFormat="1" ht="13.5" thickBot="1">
      <c r="A57" s="669" t="s">
        <v>160</v>
      </c>
      <c r="B57" s="679" t="s">
        <v>80</v>
      </c>
      <c r="C57" s="255" t="s">
        <v>14</v>
      </c>
      <c r="D57" s="742">
        <f>E57+E58+E59</f>
        <v>1979233.93</v>
      </c>
      <c r="E57" s="292">
        <f t="shared" si="0"/>
        <v>1979233.93</v>
      </c>
      <c r="F57" s="274">
        <v>0</v>
      </c>
      <c r="G57" s="248">
        <v>1979233.93</v>
      </c>
      <c r="H57" s="249">
        <v>0</v>
      </c>
      <c r="I57" s="249">
        <v>0</v>
      </c>
      <c r="J57" s="256">
        <v>0</v>
      </c>
      <c r="K57" s="122"/>
      <c r="L57" s="627"/>
      <c r="M57" s="339"/>
      <c r="N57" s="265"/>
    </row>
    <row r="58" spans="1:14" s="56" customFormat="1" ht="13.5" thickBot="1">
      <c r="A58" s="669"/>
      <c r="B58" s="679"/>
      <c r="C58" s="257" t="s">
        <v>16</v>
      </c>
      <c r="D58" s="681"/>
      <c r="E58" s="290">
        <f t="shared" si="0"/>
        <v>0</v>
      </c>
      <c r="F58" s="270">
        <v>0</v>
      </c>
      <c r="G58" s="120">
        <v>0</v>
      </c>
      <c r="H58" s="119">
        <v>0</v>
      </c>
      <c r="I58" s="119">
        <v>0</v>
      </c>
      <c r="J58" s="258">
        <v>0</v>
      </c>
      <c r="K58" s="122"/>
      <c r="L58" s="627"/>
      <c r="M58" s="339"/>
      <c r="N58" s="265"/>
    </row>
    <row r="59" spans="1:14" s="56" customFormat="1" ht="13.5" thickBot="1">
      <c r="A59" s="669"/>
      <c r="B59" s="679"/>
      <c r="C59" s="259" t="s">
        <v>17</v>
      </c>
      <c r="D59" s="743"/>
      <c r="E59" s="293">
        <f t="shared" si="0"/>
        <v>0</v>
      </c>
      <c r="F59" s="275">
        <v>0</v>
      </c>
      <c r="G59" s="252">
        <v>0</v>
      </c>
      <c r="H59" s="253">
        <v>0</v>
      </c>
      <c r="I59" s="253">
        <v>0</v>
      </c>
      <c r="J59" s="260">
        <v>0</v>
      </c>
      <c r="K59" s="126"/>
      <c r="L59" s="627"/>
      <c r="M59" s="339"/>
      <c r="N59" s="55"/>
    </row>
    <row r="60" spans="1:14" s="56" customFormat="1" ht="13.5" customHeight="1" thickBot="1">
      <c r="A60" s="669" t="s">
        <v>161</v>
      </c>
      <c r="B60" s="680" t="s">
        <v>195</v>
      </c>
      <c r="C60" s="241" t="s">
        <v>14</v>
      </c>
      <c r="D60" s="689">
        <f>E60+E61+E62</f>
        <v>988741.18</v>
      </c>
      <c r="E60" s="294">
        <f t="shared" si="0"/>
        <v>988741.18</v>
      </c>
      <c r="F60" s="274">
        <v>0</v>
      </c>
      <c r="G60" s="248">
        <v>988741.18</v>
      </c>
      <c r="H60" s="249">
        <v>0</v>
      </c>
      <c r="I60" s="249">
        <v>0</v>
      </c>
      <c r="J60" s="256">
        <v>0</v>
      </c>
      <c r="K60" s="118"/>
      <c r="L60" s="627"/>
      <c r="M60" s="339"/>
      <c r="N60" s="55"/>
    </row>
    <row r="61" spans="1:14" s="56" customFormat="1" ht="13.5" thickBot="1">
      <c r="A61" s="669"/>
      <c r="B61" s="680"/>
      <c r="C61" s="205" t="s">
        <v>16</v>
      </c>
      <c r="D61" s="681"/>
      <c r="E61" s="290">
        <f t="shared" si="0"/>
        <v>0</v>
      </c>
      <c r="F61" s="270">
        <v>0</v>
      </c>
      <c r="G61" s="120">
        <v>0</v>
      </c>
      <c r="H61" s="119">
        <v>0</v>
      </c>
      <c r="I61" s="119">
        <v>0</v>
      </c>
      <c r="J61" s="258">
        <v>0</v>
      </c>
      <c r="K61" s="122"/>
      <c r="L61" s="627"/>
      <c r="M61" s="339"/>
      <c r="N61" s="103"/>
    </row>
    <row r="62" spans="1:14" s="56" customFormat="1" ht="13.5" thickBot="1">
      <c r="A62" s="669"/>
      <c r="B62" s="680"/>
      <c r="C62" s="207" t="s">
        <v>17</v>
      </c>
      <c r="D62" s="681"/>
      <c r="E62" s="295">
        <f t="shared" si="0"/>
        <v>0</v>
      </c>
      <c r="F62" s="275">
        <v>0</v>
      </c>
      <c r="G62" s="252">
        <v>0</v>
      </c>
      <c r="H62" s="253">
        <v>0</v>
      </c>
      <c r="I62" s="253">
        <v>0</v>
      </c>
      <c r="J62" s="260">
        <v>0</v>
      </c>
      <c r="K62" s="126"/>
      <c r="L62" s="627"/>
      <c r="M62" s="339"/>
      <c r="N62" s="103"/>
    </row>
    <row r="63" spans="1:14" s="56" customFormat="1" ht="13.5" customHeight="1" thickBot="1">
      <c r="A63" s="669" t="s">
        <v>162</v>
      </c>
      <c r="B63" s="680" t="s">
        <v>88</v>
      </c>
      <c r="C63" s="203" t="s">
        <v>14</v>
      </c>
      <c r="D63" s="681">
        <f>E63+E64+E65</f>
        <v>610513.12</v>
      </c>
      <c r="E63" s="290">
        <f t="shared" si="0"/>
        <v>610513.12</v>
      </c>
      <c r="F63" s="274">
        <v>0</v>
      </c>
      <c r="G63" s="248">
        <v>610513.12</v>
      </c>
      <c r="H63" s="249">
        <v>0</v>
      </c>
      <c r="I63" s="249">
        <v>0</v>
      </c>
      <c r="J63" s="256">
        <v>0</v>
      </c>
      <c r="K63" s="118"/>
      <c r="L63" s="627"/>
      <c r="M63" s="339"/>
      <c r="N63" s="55"/>
    </row>
    <row r="64" spans="1:14" s="56" customFormat="1" ht="13.5" thickBot="1">
      <c r="A64" s="669"/>
      <c r="B64" s="680"/>
      <c r="C64" s="205" t="s">
        <v>16</v>
      </c>
      <c r="D64" s="681"/>
      <c r="E64" s="290">
        <f t="shared" si="0"/>
        <v>0</v>
      </c>
      <c r="F64" s="270">
        <v>0</v>
      </c>
      <c r="G64" s="120">
        <v>0</v>
      </c>
      <c r="H64" s="119">
        <v>0</v>
      </c>
      <c r="I64" s="119">
        <v>0</v>
      </c>
      <c r="J64" s="258">
        <v>0</v>
      </c>
      <c r="K64" s="122"/>
      <c r="L64" s="627"/>
      <c r="M64" s="339"/>
      <c r="N64" s="55"/>
    </row>
    <row r="65" spans="1:14" s="56" customFormat="1" ht="13.5" thickBot="1">
      <c r="A65" s="669"/>
      <c r="B65" s="680"/>
      <c r="C65" s="207" t="s">
        <v>17</v>
      </c>
      <c r="D65" s="681"/>
      <c r="E65" s="295">
        <f t="shared" si="0"/>
        <v>0</v>
      </c>
      <c r="F65" s="275">
        <v>0</v>
      </c>
      <c r="G65" s="252">
        <v>0</v>
      </c>
      <c r="H65" s="253">
        <v>0</v>
      </c>
      <c r="I65" s="253">
        <v>0</v>
      </c>
      <c r="J65" s="260">
        <v>0</v>
      </c>
      <c r="K65" s="126"/>
      <c r="L65" s="627"/>
      <c r="M65" s="339"/>
      <c r="N65" s="55"/>
    </row>
    <row r="66" spans="1:14" ht="12.75" customHeight="1" thickBot="1">
      <c r="A66" s="669" t="s">
        <v>163</v>
      </c>
      <c r="B66" s="680" t="s">
        <v>89</v>
      </c>
      <c r="C66" s="203" t="s">
        <v>14</v>
      </c>
      <c r="D66" s="681">
        <f>F66+G66</f>
        <v>13997774.51</v>
      </c>
      <c r="E66" s="290"/>
      <c r="F66" s="274">
        <f>8496339.34+417000</f>
        <v>8913339.34</v>
      </c>
      <c r="G66" s="248">
        <f>4667435.17+417000</f>
        <v>5084435.17</v>
      </c>
      <c r="H66" s="249">
        <v>0</v>
      </c>
      <c r="I66" s="249">
        <v>0</v>
      </c>
      <c r="J66" s="256">
        <v>0</v>
      </c>
      <c r="K66" s="118"/>
      <c r="L66" s="627"/>
      <c r="M66" s="339"/>
      <c r="N66" s="98"/>
    </row>
    <row r="67" spans="1:14" ht="13.5" thickBot="1">
      <c r="A67" s="669"/>
      <c r="B67" s="680"/>
      <c r="C67" s="205" t="s">
        <v>16</v>
      </c>
      <c r="D67" s="681"/>
      <c r="E67" s="290">
        <f>SUM(F67:I67)</f>
        <v>0</v>
      </c>
      <c r="F67" s="270">
        <v>0</v>
      </c>
      <c r="G67" s="120">
        <v>0</v>
      </c>
      <c r="H67" s="119">
        <v>0</v>
      </c>
      <c r="I67" s="119">
        <v>0</v>
      </c>
      <c r="J67" s="258">
        <v>0</v>
      </c>
      <c r="K67" s="122"/>
      <c r="L67" s="627"/>
      <c r="M67" s="339"/>
      <c r="N67" s="1"/>
    </row>
    <row r="68" spans="1:14" ht="13.5" thickBot="1">
      <c r="A68" s="669"/>
      <c r="B68" s="680"/>
      <c r="C68" s="207" t="s">
        <v>17</v>
      </c>
      <c r="D68" s="681"/>
      <c r="E68" s="295">
        <f>SUM(F68:I68)</f>
        <v>0</v>
      </c>
      <c r="F68" s="275">
        <v>0</v>
      </c>
      <c r="G68" s="252">
        <v>0</v>
      </c>
      <c r="H68" s="253">
        <v>0</v>
      </c>
      <c r="I68" s="253">
        <v>0</v>
      </c>
      <c r="J68" s="260">
        <v>0</v>
      </c>
      <c r="K68" s="126"/>
      <c r="L68" s="627"/>
      <c r="M68" s="339"/>
      <c r="N68" s="98"/>
    </row>
    <row r="69" spans="1:14" s="10" customFormat="1" ht="12.75" customHeight="1" thickBot="1">
      <c r="A69" s="669" t="s">
        <v>165</v>
      </c>
      <c r="B69" s="680" t="s">
        <v>115</v>
      </c>
      <c r="C69" s="203" t="s">
        <v>14</v>
      </c>
      <c r="D69" s="681">
        <f>E69+E70+E71</f>
        <v>211599.99</v>
      </c>
      <c r="E69" s="279">
        <f>SUM(F69:J69)</f>
        <v>211599.99</v>
      </c>
      <c r="F69" s="274">
        <v>211599.99</v>
      </c>
      <c r="G69" s="237">
        <v>0</v>
      </c>
      <c r="H69" s="242">
        <v>0</v>
      </c>
      <c r="I69" s="242">
        <v>0</v>
      </c>
      <c r="J69" s="243">
        <v>0</v>
      </c>
      <c r="K69" s="118"/>
      <c r="L69" s="627"/>
      <c r="M69" s="339"/>
      <c r="N69" s="9"/>
    </row>
    <row r="70" spans="1:14" s="10" customFormat="1" ht="12.75" customHeight="1" thickBot="1">
      <c r="A70" s="669"/>
      <c r="B70" s="680"/>
      <c r="C70" s="205" t="s">
        <v>16</v>
      </c>
      <c r="D70" s="681"/>
      <c r="E70" s="285">
        <f>SUM(F70:J70)</f>
        <v>0</v>
      </c>
      <c r="F70" s="120">
        <v>0</v>
      </c>
      <c r="G70" s="120">
        <v>0</v>
      </c>
      <c r="H70" s="119">
        <v>0</v>
      </c>
      <c r="I70" s="119">
        <v>0</v>
      </c>
      <c r="J70" s="121">
        <v>0</v>
      </c>
      <c r="K70" s="122"/>
      <c r="L70" s="627"/>
      <c r="M70" s="339"/>
      <c r="N70" s="9"/>
    </row>
    <row r="71" spans="1:14" s="10" customFormat="1" ht="13.5" customHeight="1" thickBot="1">
      <c r="A71" s="669"/>
      <c r="B71" s="680"/>
      <c r="C71" s="207" t="s">
        <v>17</v>
      </c>
      <c r="D71" s="681"/>
      <c r="E71" s="281">
        <f>SUM(F71:J71)</f>
        <v>0</v>
      </c>
      <c r="F71" s="123">
        <v>0</v>
      </c>
      <c r="G71" s="123">
        <v>0</v>
      </c>
      <c r="H71" s="123">
        <v>0</v>
      </c>
      <c r="I71" s="123">
        <v>0</v>
      </c>
      <c r="J71" s="125">
        <v>0</v>
      </c>
      <c r="K71" s="126"/>
      <c r="L71" s="627"/>
      <c r="M71" s="339"/>
      <c r="N71" s="9"/>
    </row>
    <row r="72" spans="1:14" ht="12.75" customHeight="1" thickBot="1">
      <c r="A72" s="669" t="s">
        <v>164</v>
      </c>
      <c r="B72" s="680" t="s">
        <v>127</v>
      </c>
      <c r="C72" s="203" t="s">
        <v>14</v>
      </c>
      <c r="D72" s="681">
        <f>E72+E73+E74</f>
        <v>107564000</v>
      </c>
      <c r="E72" s="280">
        <f>SUM(F72:J72)</f>
        <v>0</v>
      </c>
      <c r="F72" s="120">
        <f>SUM(G72:L72)</f>
        <v>0</v>
      </c>
      <c r="G72" s="120">
        <f>SUM(H72:N72)</f>
        <v>0</v>
      </c>
      <c r="H72" s="120">
        <f>SUM(I72:O72)</f>
        <v>0</v>
      </c>
      <c r="I72" s="120">
        <f>SUM(J72:P72)</f>
        <v>0</v>
      </c>
      <c r="J72" s="154">
        <f>SUM(L72:Q72)</f>
        <v>0</v>
      </c>
      <c r="K72" s="153"/>
      <c r="L72" s="627"/>
      <c r="M72" s="339"/>
      <c r="N72" s="1"/>
    </row>
    <row r="73" spans="1:14" ht="12.75" customHeight="1" thickBot="1">
      <c r="A73" s="669"/>
      <c r="B73" s="680"/>
      <c r="C73" s="205" t="s">
        <v>16</v>
      </c>
      <c r="D73" s="681"/>
      <c r="E73" s="280">
        <f>SUM(F73:I73)</f>
        <v>0</v>
      </c>
      <c r="F73" s="120">
        <f>SUM(G73:J73)</f>
        <v>0</v>
      </c>
      <c r="G73" s="120">
        <f>SUM(H73:L73)</f>
        <v>0</v>
      </c>
      <c r="H73" s="120">
        <f>SUM(I73:N73)</f>
        <v>0</v>
      </c>
      <c r="I73" s="120">
        <f>SUM(J73:O73)</f>
        <v>0</v>
      </c>
      <c r="J73" s="154">
        <f>SUM(L73:P73)</f>
        <v>0</v>
      </c>
      <c r="K73" s="155"/>
      <c r="L73" s="627"/>
      <c r="M73" s="339"/>
      <c r="N73" s="1"/>
    </row>
    <row r="74" spans="1:14" ht="12.75" customHeight="1" thickBot="1">
      <c r="A74" s="669"/>
      <c r="B74" s="680"/>
      <c r="C74" s="207" t="s">
        <v>17</v>
      </c>
      <c r="D74" s="681"/>
      <c r="E74" s="281">
        <f>SUM(F74:I74)</f>
        <v>107564000</v>
      </c>
      <c r="F74" s="124">
        <v>0</v>
      </c>
      <c r="G74" s="237">
        <v>30000000</v>
      </c>
      <c r="H74" s="124">
        <v>45000000</v>
      </c>
      <c r="I74" s="124">
        <f>107564000-H74-G74</f>
        <v>32564000</v>
      </c>
      <c r="J74" s="157"/>
      <c r="K74" s="156"/>
      <c r="L74" s="627"/>
      <c r="M74" s="339"/>
      <c r="N74" s="1"/>
    </row>
    <row r="75" spans="1:14" s="10" customFormat="1" ht="13.5" customHeight="1" thickBot="1">
      <c r="A75" s="669" t="s">
        <v>166</v>
      </c>
      <c r="B75" s="680" t="s">
        <v>137</v>
      </c>
      <c r="C75" s="203" t="s">
        <v>14</v>
      </c>
      <c r="D75" s="673">
        <v>6000000</v>
      </c>
      <c r="E75" s="279">
        <f aca="true" t="shared" si="4" ref="E75:E98">SUM(F75:J75)</f>
        <v>0</v>
      </c>
      <c r="F75" s="115">
        <f>F78+F81</f>
        <v>0</v>
      </c>
      <c r="G75" s="115">
        <f>G78+G81</f>
        <v>0</v>
      </c>
      <c r="H75" s="115">
        <f>H78+H81</f>
        <v>0</v>
      </c>
      <c r="I75" s="115">
        <f>I78+I81</f>
        <v>0</v>
      </c>
      <c r="J75" s="117">
        <f>J78+J81</f>
        <v>0</v>
      </c>
      <c r="K75" s="667" t="s">
        <v>136</v>
      </c>
      <c r="L75" s="627"/>
      <c r="M75" s="339"/>
      <c r="N75" s="9"/>
    </row>
    <row r="76" spans="1:14" s="10" customFormat="1" ht="13.5" customHeight="1" thickBot="1">
      <c r="A76" s="669"/>
      <c r="B76" s="680"/>
      <c r="C76" s="205" t="s">
        <v>16</v>
      </c>
      <c r="D76" s="673"/>
      <c r="E76" s="280">
        <f t="shared" si="4"/>
        <v>0</v>
      </c>
      <c r="F76" s="119">
        <v>0</v>
      </c>
      <c r="G76" s="119">
        <f aca="true" t="shared" si="5" ref="G76:J77">G79+G82</f>
        <v>0</v>
      </c>
      <c r="H76" s="119">
        <f t="shared" si="5"/>
        <v>0</v>
      </c>
      <c r="I76" s="119">
        <f t="shared" si="5"/>
        <v>0</v>
      </c>
      <c r="J76" s="121">
        <f t="shared" si="5"/>
        <v>0</v>
      </c>
      <c r="K76" s="668"/>
      <c r="L76" s="627"/>
      <c r="M76" s="339"/>
      <c r="N76" s="9"/>
    </row>
    <row r="77" spans="1:14" s="10" customFormat="1" ht="36.75" customHeight="1" thickBot="1">
      <c r="A77" s="669"/>
      <c r="B77" s="680"/>
      <c r="C77" s="207" t="s">
        <v>17</v>
      </c>
      <c r="D77" s="673"/>
      <c r="E77" s="281">
        <f t="shared" si="4"/>
        <v>0</v>
      </c>
      <c r="F77" s="119">
        <f>F80+F83</f>
        <v>0</v>
      </c>
      <c r="G77" s="119">
        <f t="shared" si="5"/>
        <v>0</v>
      </c>
      <c r="H77" s="123">
        <f t="shared" si="5"/>
        <v>0</v>
      </c>
      <c r="I77" s="123">
        <f t="shared" si="5"/>
        <v>0</v>
      </c>
      <c r="J77" s="125">
        <f t="shared" si="5"/>
        <v>0</v>
      </c>
      <c r="K77" s="668"/>
      <c r="L77" s="627"/>
      <c r="M77" s="339"/>
      <c r="N77" s="9"/>
    </row>
    <row r="78" spans="1:14" s="10" customFormat="1" ht="13.5" customHeight="1" hidden="1">
      <c r="A78" s="711"/>
      <c r="B78" s="731" t="s">
        <v>121</v>
      </c>
      <c r="C78" s="209" t="s">
        <v>14</v>
      </c>
      <c r="D78" s="732" t="s">
        <v>155</v>
      </c>
      <c r="E78" s="282">
        <f t="shared" si="4"/>
        <v>0</v>
      </c>
      <c r="F78" s="127">
        <v>0</v>
      </c>
      <c r="G78" s="127">
        <v>0</v>
      </c>
      <c r="H78" s="158">
        <v>0</v>
      </c>
      <c r="I78" s="127">
        <v>0</v>
      </c>
      <c r="J78" s="129">
        <v>0</v>
      </c>
      <c r="K78" s="315"/>
      <c r="L78" s="627"/>
      <c r="M78" s="339"/>
      <c r="N78" s="9"/>
    </row>
    <row r="79" spans="1:14" s="10" customFormat="1" ht="13.5" customHeight="1" hidden="1">
      <c r="A79" s="711"/>
      <c r="B79" s="731"/>
      <c r="C79" s="210" t="s">
        <v>16</v>
      </c>
      <c r="D79" s="732"/>
      <c r="E79" s="283">
        <f t="shared" si="4"/>
        <v>0</v>
      </c>
      <c r="F79" s="131">
        <v>0</v>
      </c>
      <c r="G79" s="131">
        <v>0</v>
      </c>
      <c r="H79" s="131">
        <v>0</v>
      </c>
      <c r="I79" s="131">
        <v>0</v>
      </c>
      <c r="J79" s="132">
        <v>0</v>
      </c>
      <c r="K79" s="315"/>
      <c r="L79" s="627"/>
      <c r="M79" s="339"/>
      <c r="N79" s="9"/>
    </row>
    <row r="80" spans="1:14" s="10" customFormat="1" ht="25.5" customHeight="1" hidden="1">
      <c r="A80" s="711"/>
      <c r="B80" s="731"/>
      <c r="C80" s="210" t="s">
        <v>17</v>
      </c>
      <c r="D80" s="732"/>
      <c r="E80" s="284">
        <f t="shared" si="4"/>
        <v>0</v>
      </c>
      <c r="F80" s="135">
        <v>0</v>
      </c>
      <c r="G80" s="135">
        <v>0</v>
      </c>
      <c r="H80" s="135">
        <v>0</v>
      </c>
      <c r="I80" s="135">
        <v>0</v>
      </c>
      <c r="J80" s="136">
        <v>0</v>
      </c>
      <c r="K80" s="315"/>
      <c r="L80" s="627"/>
      <c r="M80" s="339"/>
      <c r="N80" s="9"/>
    </row>
    <row r="81" spans="1:14" s="10" customFormat="1" ht="13.5" customHeight="1" hidden="1">
      <c r="A81" s="711"/>
      <c r="B81" s="731" t="s">
        <v>122</v>
      </c>
      <c r="C81" s="209" t="s">
        <v>14</v>
      </c>
      <c r="D81" s="732" t="s">
        <v>154</v>
      </c>
      <c r="E81" s="282">
        <f t="shared" si="4"/>
        <v>0</v>
      </c>
      <c r="F81" s="128">
        <v>0</v>
      </c>
      <c r="G81" s="128">
        <v>0</v>
      </c>
      <c r="H81" s="128">
        <v>0</v>
      </c>
      <c r="I81" s="127">
        <v>0</v>
      </c>
      <c r="J81" s="139">
        <v>0</v>
      </c>
      <c r="K81" s="315"/>
      <c r="L81" s="627"/>
      <c r="M81" s="339"/>
      <c r="N81" s="9"/>
    </row>
    <row r="82" spans="1:14" s="10" customFormat="1" ht="13.5" customHeight="1" hidden="1">
      <c r="A82" s="711"/>
      <c r="B82" s="731"/>
      <c r="C82" s="210" t="s">
        <v>16</v>
      </c>
      <c r="D82" s="732"/>
      <c r="E82" s="283">
        <f t="shared" si="4"/>
        <v>0</v>
      </c>
      <c r="F82" s="131">
        <v>0</v>
      </c>
      <c r="G82" s="131">
        <v>0</v>
      </c>
      <c r="H82" s="131">
        <v>0</v>
      </c>
      <c r="I82" s="131">
        <v>0</v>
      </c>
      <c r="J82" s="132">
        <v>0</v>
      </c>
      <c r="K82" s="315"/>
      <c r="L82" s="627"/>
      <c r="M82" s="339"/>
      <c r="N82" s="9"/>
    </row>
    <row r="83" spans="1:14" s="10" customFormat="1" ht="26.25" customHeight="1" hidden="1">
      <c r="A83" s="711"/>
      <c r="B83" s="731"/>
      <c r="C83" s="210" t="s">
        <v>17</v>
      </c>
      <c r="D83" s="732"/>
      <c r="E83" s="284">
        <f t="shared" si="4"/>
        <v>0</v>
      </c>
      <c r="F83" s="134">
        <v>0</v>
      </c>
      <c r="G83" s="134">
        <v>0</v>
      </c>
      <c r="H83" s="134">
        <v>0</v>
      </c>
      <c r="I83" s="134">
        <v>0</v>
      </c>
      <c r="J83" s="136">
        <v>0</v>
      </c>
      <c r="K83" s="315"/>
      <c r="L83" s="627"/>
      <c r="M83" s="339"/>
      <c r="N83" s="9"/>
    </row>
    <row r="84" spans="1:14" s="10" customFormat="1" ht="13.5" customHeight="1" thickBot="1">
      <c r="A84" s="669" t="s">
        <v>167</v>
      </c>
      <c r="B84" s="680" t="s">
        <v>117</v>
      </c>
      <c r="C84" s="203" t="s">
        <v>14</v>
      </c>
      <c r="D84" s="681">
        <f>E84+E85+E86</f>
        <v>887557.09</v>
      </c>
      <c r="E84" s="279">
        <f t="shared" si="4"/>
        <v>887557.09</v>
      </c>
      <c r="F84" s="116">
        <v>0</v>
      </c>
      <c r="G84" s="115">
        <v>0</v>
      </c>
      <c r="H84" s="115">
        <v>0</v>
      </c>
      <c r="I84" s="115">
        <f>1000000-112442.91</f>
        <v>887557.09</v>
      </c>
      <c r="J84" s="117">
        <v>0</v>
      </c>
      <c r="K84" s="153"/>
      <c r="L84" s="627"/>
      <c r="M84" s="339"/>
      <c r="N84" s="9"/>
    </row>
    <row r="85" spans="1:14" s="10" customFormat="1" ht="13.5" customHeight="1" thickBot="1">
      <c r="A85" s="669"/>
      <c r="B85" s="680"/>
      <c r="C85" s="205" t="s">
        <v>16</v>
      </c>
      <c r="D85" s="681"/>
      <c r="E85" s="280">
        <f t="shared" si="4"/>
        <v>0</v>
      </c>
      <c r="F85" s="120">
        <v>0</v>
      </c>
      <c r="G85" s="119">
        <v>0</v>
      </c>
      <c r="H85" s="119">
        <v>0</v>
      </c>
      <c r="I85" s="119">
        <v>0</v>
      </c>
      <c r="J85" s="121">
        <v>0</v>
      </c>
      <c r="K85" s="155"/>
      <c r="L85" s="627"/>
      <c r="M85" s="339"/>
      <c r="N85" s="9"/>
    </row>
    <row r="86" spans="1:14" s="10" customFormat="1" ht="21.75" customHeight="1" thickBot="1">
      <c r="A86" s="669"/>
      <c r="B86" s="680"/>
      <c r="C86" s="207" t="s">
        <v>17</v>
      </c>
      <c r="D86" s="681"/>
      <c r="E86" s="281">
        <f t="shared" si="4"/>
        <v>0</v>
      </c>
      <c r="F86" s="236">
        <v>0</v>
      </c>
      <c r="G86" s="240">
        <v>0</v>
      </c>
      <c r="H86" s="240">
        <v>0</v>
      </c>
      <c r="I86" s="240">
        <v>0</v>
      </c>
      <c r="J86" s="247">
        <v>0</v>
      </c>
      <c r="K86" s="156"/>
      <c r="L86" s="627"/>
      <c r="M86" s="339"/>
      <c r="N86" s="9"/>
    </row>
    <row r="87" spans="1:14" s="10" customFormat="1" ht="13.5" customHeight="1" thickBot="1">
      <c r="A87" s="669" t="s">
        <v>168</v>
      </c>
      <c r="B87" s="680" t="s">
        <v>114</v>
      </c>
      <c r="C87" s="203" t="s">
        <v>14</v>
      </c>
      <c r="D87" s="681">
        <v>73200</v>
      </c>
      <c r="E87" s="289">
        <f t="shared" si="4"/>
        <v>73241</v>
      </c>
      <c r="F87" s="274">
        <v>73241</v>
      </c>
      <c r="G87" s="248">
        <v>0</v>
      </c>
      <c r="H87" s="248">
        <v>0</v>
      </c>
      <c r="I87" s="248">
        <v>0</v>
      </c>
      <c r="J87" s="272">
        <v>0</v>
      </c>
      <c r="K87" s="153"/>
      <c r="L87" s="627"/>
      <c r="M87" s="339"/>
      <c r="N87" s="9"/>
    </row>
    <row r="88" spans="1:14" s="10" customFormat="1" ht="13.5" thickBot="1">
      <c r="A88" s="669"/>
      <c r="B88" s="680"/>
      <c r="C88" s="205" t="s">
        <v>16</v>
      </c>
      <c r="D88" s="681"/>
      <c r="E88" s="290">
        <f t="shared" si="4"/>
        <v>61181</v>
      </c>
      <c r="F88" s="270">
        <v>0</v>
      </c>
      <c r="G88" s="120">
        <f>61181</f>
        <v>61181</v>
      </c>
      <c r="H88" s="120">
        <v>0</v>
      </c>
      <c r="I88" s="120">
        <v>0</v>
      </c>
      <c r="J88" s="154">
        <v>0</v>
      </c>
      <c r="K88" s="155"/>
      <c r="L88" s="627"/>
      <c r="M88" s="339"/>
      <c r="N88" s="9"/>
    </row>
    <row r="89" spans="1:14" s="10" customFormat="1" ht="13.5" thickBot="1">
      <c r="A89" s="669"/>
      <c r="B89" s="680"/>
      <c r="C89" s="207" t="s">
        <v>17</v>
      </c>
      <c r="D89" s="681"/>
      <c r="E89" s="295">
        <f t="shared" si="4"/>
        <v>0</v>
      </c>
      <c r="F89" s="275">
        <v>0</v>
      </c>
      <c r="G89" s="252">
        <v>0</v>
      </c>
      <c r="H89" s="252">
        <v>0</v>
      </c>
      <c r="I89" s="252">
        <v>0</v>
      </c>
      <c r="J89" s="273">
        <v>0</v>
      </c>
      <c r="K89" s="156"/>
      <c r="L89" s="627"/>
      <c r="M89" s="339"/>
      <c r="N89" s="9"/>
    </row>
    <row r="90" spans="1:14" ht="13.5" thickBot="1">
      <c r="A90" s="669" t="s">
        <v>169</v>
      </c>
      <c r="B90" s="670" t="s">
        <v>126</v>
      </c>
      <c r="C90" s="203" t="s">
        <v>14</v>
      </c>
      <c r="D90" s="673">
        <f>E90+E91+E92</f>
        <v>6056950</v>
      </c>
      <c r="E90" s="279">
        <f t="shared" si="4"/>
        <v>302850</v>
      </c>
      <c r="F90" s="237">
        <v>0</v>
      </c>
      <c r="G90" s="237">
        <v>302850</v>
      </c>
      <c r="H90" s="237">
        <v>0</v>
      </c>
      <c r="I90" s="237">
        <v>0</v>
      </c>
      <c r="J90" s="276">
        <v>0</v>
      </c>
      <c r="K90" s="155"/>
      <c r="L90" s="627"/>
      <c r="M90" s="339"/>
      <c r="N90" s="263"/>
    </row>
    <row r="91" spans="1:14" ht="13.5" thickBot="1">
      <c r="A91" s="669"/>
      <c r="B91" s="671"/>
      <c r="C91" s="205" t="s">
        <v>16</v>
      </c>
      <c r="D91" s="673"/>
      <c r="E91" s="280">
        <f t="shared" si="4"/>
        <v>5754100</v>
      </c>
      <c r="F91" s="120">
        <v>0</v>
      </c>
      <c r="G91" s="120">
        <v>5754100</v>
      </c>
      <c r="H91" s="120">
        <v>0</v>
      </c>
      <c r="I91" s="120">
        <v>0</v>
      </c>
      <c r="J91" s="154">
        <v>0</v>
      </c>
      <c r="K91" s="155"/>
      <c r="L91" s="627"/>
      <c r="M91" s="339"/>
      <c r="N91" s="1"/>
    </row>
    <row r="92" spans="1:14" ht="13.5" customHeight="1" thickBot="1">
      <c r="A92" s="669"/>
      <c r="B92" s="672"/>
      <c r="C92" s="207" t="s">
        <v>17</v>
      </c>
      <c r="D92" s="673"/>
      <c r="E92" s="281">
        <f t="shared" si="4"/>
        <v>0</v>
      </c>
      <c r="F92" s="236">
        <v>0</v>
      </c>
      <c r="G92" s="236">
        <v>0</v>
      </c>
      <c r="H92" s="236">
        <v>0</v>
      </c>
      <c r="I92" s="236">
        <v>0</v>
      </c>
      <c r="J92" s="266">
        <v>0</v>
      </c>
      <c r="K92" s="238"/>
      <c r="L92" s="627"/>
      <c r="M92" s="339"/>
      <c r="N92" s="1"/>
    </row>
    <row r="93" spans="1:14" ht="13.5" customHeight="1" thickBot="1">
      <c r="A93" s="669" t="s">
        <v>170</v>
      </c>
      <c r="B93" s="670" t="s">
        <v>118</v>
      </c>
      <c r="C93" s="203" t="s">
        <v>14</v>
      </c>
      <c r="D93" s="673">
        <f>E93+E94+E95</f>
        <v>878000</v>
      </c>
      <c r="E93" s="289">
        <f t="shared" si="4"/>
        <v>878000</v>
      </c>
      <c r="F93" s="274">
        <v>0</v>
      </c>
      <c r="G93" s="248">
        <v>878000</v>
      </c>
      <c r="H93" s="248">
        <v>0</v>
      </c>
      <c r="I93" s="248">
        <v>0</v>
      </c>
      <c r="J93" s="272">
        <v>0</v>
      </c>
      <c r="K93" s="153"/>
      <c r="L93" s="627"/>
      <c r="M93" s="339"/>
      <c r="N93" s="1"/>
    </row>
    <row r="94" spans="1:14" ht="13.5" customHeight="1" thickBot="1">
      <c r="A94" s="669"/>
      <c r="B94" s="671"/>
      <c r="C94" s="205" t="s">
        <v>16</v>
      </c>
      <c r="D94" s="673"/>
      <c r="E94" s="290">
        <f t="shared" si="4"/>
        <v>0</v>
      </c>
      <c r="F94" s="270">
        <v>0</v>
      </c>
      <c r="G94" s="120">
        <v>0</v>
      </c>
      <c r="H94" s="120">
        <v>0</v>
      </c>
      <c r="I94" s="120">
        <v>0</v>
      </c>
      <c r="J94" s="154">
        <v>0</v>
      </c>
      <c r="K94" s="155"/>
      <c r="L94" s="627"/>
      <c r="M94" s="339"/>
      <c r="N94" s="1"/>
    </row>
    <row r="95" spans="1:14" ht="14.25" customHeight="1" thickBot="1">
      <c r="A95" s="669"/>
      <c r="B95" s="672"/>
      <c r="C95" s="207" t="s">
        <v>17</v>
      </c>
      <c r="D95" s="673"/>
      <c r="E95" s="295">
        <f t="shared" si="4"/>
        <v>0</v>
      </c>
      <c r="F95" s="275">
        <v>0</v>
      </c>
      <c r="G95" s="252">
        <v>0</v>
      </c>
      <c r="H95" s="252">
        <v>0</v>
      </c>
      <c r="I95" s="252">
        <v>0</v>
      </c>
      <c r="J95" s="273">
        <v>0</v>
      </c>
      <c r="K95" s="156"/>
      <c r="L95" s="627"/>
      <c r="M95" s="339"/>
      <c r="N95" s="1"/>
    </row>
    <row r="96" spans="1:14" ht="13.5" customHeight="1" hidden="1">
      <c r="A96" s="669">
        <v>20</v>
      </c>
      <c r="B96" s="670" t="s">
        <v>120</v>
      </c>
      <c r="C96" s="203" t="s">
        <v>14</v>
      </c>
      <c r="D96" s="673">
        <f>E96+E97+E98</f>
        <v>0</v>
      </c>
      <c r="E96" s="279">
        <f t="shared" si="4"/>
        <v>0</v>
      </c>
      <c r="F96" s="242">
        <v>0</v>
      </c>
      <c r="G96" s="242">
        <v>0</v>
      </c>
      <c r="H96" s="242">
        <v>0</v>
      </c>
      <c r="I96" s="242">
        <v>0</v>
      </c>
      <c r="J96" s="277">
        <v>0</v>
      </c>
      <c r="K96" s="159"/>
      <c r="L96" s="627"/>
      <c r="M96" s="339"/>
      <c r="N96" s="1"/>
    </row>
    <row r="97" spans="1:14" ht="13.5" customHeight="1" hidden="1">
      <c r="A97" s="669"/>
      <c r="B97" s="671"/>
      <c r="C97" s="205" t="s">
        <v>16</v>
      </c>
      <c r="D97" s="673"/>
      <c r="E97" s="280">
        <f t="shared" si="4"/>
        <v>0</v>
      </c>
      <c r="F97" s="119">
        <v>0</v>
      </c>
      <c r="G97" s="119">
        <v>0</v>
      </c>
      <c r="H97" s="115">
        <v>0</v>
      </c>
      <c r="I97" s="119">
        <v>0</v>
      </c>
      <c r="J97" s="160">
        <v>0</v>
      </c>
      <c r="K97" s="159"/>
      <c r="L97" s="627"/>
      <c r="M97" s="339"/>
      <c r="N97" s="1"/>
    </row>
    <row r="98" spans="1:14" ht="13.5" customHeight="1" hidden="1">
      <c r="A98" s="669"/>
      <c r="B98" s="672"/>
      <c r="C98" s="207" t="s">
        <v>17</v>
      </c>
      <c r="D98" s="673"/>
      <c r="E98" s="281">
        <f t="shared" si="4"/>
        <v>0</v>
      </c>
      <c r="F98" s="119">
        <v>0</v>
      </c>
      <c r="G98" s="119">
        <v>0</v>
      </c>
      <c r="H98" s="115">
        <v>0</v>
      </c>
      <c r="I98" s="123">
        <v>0</v>
      </c>
      <c r="J98" s="161">
        <v>0</v>
      </c>
      <c r="K98" s="162"/>
      <c r="L98" s="627"/>
      <c r="M98" s="339"/>
      <c r="N98" s="1"/>
    </row>
    <row r="99" spans="1:14" ht="13.5" customHeight="1" thickBot="1">
      <c r="A99" s="669" t="s">
        <v>171</v>
      </c>
      <c r="B99" s="670" t="s">
        <v>123</v>
      </c>
      <c r="C99" s="203" t="s">
        <v>14</v>
      </c>
      <c r="D99" s="673">
        <v>2364000</v>
      </c>
      <c r="E99" s="279">
        <f>SUM(F99:J99)</f>
        <v>0</v>
      </c>
      <c r="F99" s="115">
        <v>0</v>
      </c>
      <c r="G99" s="115">
        <v>0</v>
      </c>
      <c r="H99" s="115">
        <v>0</v>
      </c>
      <c r="I99" s="115">
        <v>0</v>
      </c>
      <c r="J99" s="117">
        <v>0</v>
      </c>
      <c r="K99" s="667" t="s">
        <v>136</v>
      </c>
      <c r="L99" s="627"/>
      <c r="M99" s="339"/>
      <c r="N99" s="1"/>
    </row>
    <row r="100" spans="1:14" ht="13.5" customHeight="1" thickBot="1">
      <c r="A100" s="669"/>
      <c r="B100" s="671"/>
      <c r="C100" s="205" t="s">
        <v>16</v>
      </c>
      <c r="D100" s="673"/>
      <c r="E100" s="280">
        <f>SUM(F100:J100)</f>
        <v>0</v>
      </c>
      <c r="F100" s="119">
        <v>0</v>
      </c>
      <c r="G100" s="119">
        <v>0</v>
      </c>
      <c r="H100" s="119">
        <v>0</v>
      </c>
      <c r="I100" s="119">
        <v>0</v>
      </c>
      <c r="J100" s="121">
        <v>0</v>
      </c>
      <c r="K100" s="733"/>
      <c r="L100" s="627"/>
      <c r="M100" s="339"/>
      <c r="N100" s="1"/>
    </row>
    <row r="101" spans="1:14" ht="34.5" customHeight="1" thickBot="1">
      <c r="A101" s="669"/>
      <c r="B101" s="672"/>
      <c r="C101" s="207" t="s">
        <v>17</v>
      </c>
      <c r="D101" s="673"/>
      <c r="E101" s="281">
        <f>SUM(F101:J101)</f>
        <v>0</v>
      </c>
      <c r="F101" s="119">
        <v>0</v>
      </c>
      <c r="G101" s="119">
        <v>0</v>
      </c>
      <c r="H101" s="123">
        <v>0</v>
      </c>
      <c r="I101" s="123">
        <v>0</v>
      </c>
      <c r="J101" s="125">
        <v>0</v>
      </c>
      <c r="K101" s="734"/>
      <c r="L101" s="627"/>
      <c r="M101" s="339"/>
      <c r="N101" s="263"/>
    </row>
    <row r="102" spans="1:14" ht="13.5" customHeight="1">
      <c r="A102" s="674" t="s">
        <v>172</v>
      </c>
      <c r="B102" s="670" t="s">
        <v>124</v>
      </c>
      <c r="C102" s="203" t="s">
        <v>14</v>
      </c>
      <c r="D102" s="687">
        <f>E102+E103+E104</f>
        <v>2500000</v>
      </c>
      <c r="E102" s="279">
        <f aca="true" t="shared" si="6" ref="E102:E134">SUM(F102:J102)</f>
        <v>2500000</v>
      </c>
      <c r="F102" s="115">
        <v>0</v>
      </c>
      <c r="G102" s="115">
        <v>0</v>
      </c>
      <c r="H102" s="115">
        <v>2500000</v>
      </c>
      <c r="I102" s="115">
        <v>0</v>
      </c>
      <c r="J102" s="117">
        <v>0</v>
      </c>
      <c r="K102" s="118"/>
      <c r="L102" s="627"/>
      <c r="M102" s="339"/>
      <c r="N102" s="1"/>
    </row>
    <row r="103" spans="1:14" ht="13.5" customHeight="1">
      <c r="A103" s="675"/>
      <c r="B103" s="671"/>
      <c r="C103" s="205" t="s">
        <v>16</v>
      </c>
      <c r="D103" s="688"/>
      <c r="E103" s="280">
        <f t="shared" si="6"/>
        <v>0</v>
      </c>
      <c r="F103" s="119">
        <v>0</v>
      </c>
      <c r="G103" s="119">
        <v>0</v>
      </c>
      <c r="H103" s="119">
        <v>0</v>
      </c>
      <c r="I103" s="119">
        <v>0</v>
      </c>
      <c r="J103" s="121">
        <v>0</v>
      </c>
      <c r="K103" s="122"/>
      <c r="L103" s="627"/>
      <c r="M103" s="339"/>
      <c r="N103" s="1"/>
    </row>
    <row r="104" spans="1:14" ht="11.25" customHeight="1" thickBot="1">
      <c r="A104" s="676"/>
      <c r="B104" s="672"/>
      <c r="C104" s="207" t="s">
        <v>17</v>
      </c>
      <c r="D104" s="689"/>
      <c r="E104" s="281">
        <f t="shared" si="6"/>
        <v>0</v>
      </c>
      <c r="F104" s="119">
        <v>0</v>
      </c>
      <c r="G104" s="119">
        <v>0</v>
      </c>
      <c r="H104" s="123">
        <v>0</v>
      </c>
      <c r="I104" s="123">
        <v>0</v>
      </c>
      <c r="J104" s="125">
        <v>0</v>
      </c>
      <c r="K104" s="126"/>
      <c r="L104" s="627"/>
      <c r="M104" s="339"/>
      <c r="N104" s="1"/>
    </row>
    <row r="105" spans="1:14" ht="13.5" customHeight="1" thickBot="1">
      <c r="A105" s="669" t="s">
        <v>173</v>
      </c>
      <c r="B105" s="670" t="s">
        <v>125</v>
      </c>
      <c r="C105" s="203" t="s">
        <v>14</v>
      </c>
      <c r="D105" s="673">
        <f>E105+E106+E107</f>
        <v>2472193.89</v>
      </c>
      <c r="E105" s="279">
        <f t="shared" si="6"/>
        <v>2472193.89</v>
      </c>
      <c r="F105" s="115">
        <v>0</v>
      </c>
      <c r="G105" s="115">
        <v>0</v>
      </c>
      <c r="H105" s="115">
        <f>2000000+282100+119.89-99052.02+289026.02</f>
        <v>2472193.89</v>
      </c>
      <c r="I105" s="115">
        <v>0</v>
      </c>
      <c r="J105" s="117">
        <v>0</v>
      </c>
      <c r="K105" s="163"/>
      <c r="L105" s="627"/>
      <c r="M105" s="339"/>
      <c r="N105" s="263"/>
    </row>
    <row r="106" spans="1:14" ht="13.5" customHeight="1" thickBot="1">
      <c r="A106" s="669"/>
      <c r="B106" s="671"/>
      <c r="C106" s="205" t="s">
        <v>16</v>
      </c>
      <c r="D106" s="673"/>
      <c r="E106" s="280">
        <f t="shared" si="6"/>
        <v>0</v>
      </c>
      <c r="F106" s="119">
        <v>0</v>
      </c>
      <c r="G106" s="119">
        <v>0</v>
      </c>
      <c r="H106" s="119">
        <v>0</v>
      </c>
      <c r="I106" s="119">
        <v>0</v>
      </c>
      <c r="J106" s="121">
        <v>0</v>
      </c>
      <c r="K106" s="122"/>
      <c r="L106" s="627"/>
      <c r="M106" s="339"/>
      <c r="N106" s="1"/>
    </row>
    <row r="107" spans="1:14" ht="11.25" customHeight="1" thickBot="1">
      <c r="A107" s="669"/>
      <c r="B107" s="672"/>
      <c r="C107" s="207" t="s">
        <v>17</v>
      </c>
      <c r="D107" s="673"/>
      <c r="E107" s="281">
        <f t="shared" si="6"/>
        <v>0</v>
      </c>
      <c r="F107" s="119">
        <v>0</v>
      </c>
      <c r="G107" s="119">
        <v>0</v>
      </c>
      <c r="H107" s="123">
        <v>0</v>
      </c>
      <c r="I107" s="123">
        <v>0</v>
      </c>
      <c r="J107" s="125">
        <v>0</v>
      </c>
      <c r="K107" s="126"/>
      <c r="L107" s="627"/>
      <c r="M107" s="339"/>
      <c r="N107" s="1"/>
    </row>
    <row r="108" spans="1:14" ht="11.25" customHeight="1" thickBot="1">
      <c r="A108" s="747" t="s">
        <v>174</v>
      </c>
      <c r="B108" s="748" t="s">
        <v>184</v>
      </c>
      <c r="C108" s="203" t="s">
        <v>14</v>
      </c>
      <c r="D108" s="751">
        <f>H108+H109</f>
        <v>930683.5800000001</v>
      </c>
      <c r="E108" s="279">
        <f t="shared" si="6"/>
        <v>46534.18</v>
      </c>
      <c r="F108" s="115">
        <v>0</v>
      </c>
      <c r="G108" s="115">
        <v>0</v>
      </c>
      <c r="H108" s="341">
        <f>ROUND((923922+6761.58)*5/100,2)</f>
        <v>46534.18</v>
      </c>
      <c r="I108" s="115">
        <v>0</v>
      </c>
      <c r="J108" s="117">
        <v>0</v>
      </c>
      <c r="K108" s="163"/>
      <c r="L108" s="627"/>
      <c r="M108" s="348">
        <f>'[1]27.08.2013'!$H$108-H108</f>
        <v>29947.85</v>
      </c>
      <c r="N108" s="263">
        <f>'[1]27.08.2013'!$H$108-H108</f>
        <v>29947.85</v>
      </c>
    </row>
    <row r="109" spans="1:17" ht="11.25" customHeight="1" thickBot="1">
      <c r="A109" s="747"/>
      <c r="B109" s="749"/>
      <c r="C109" s="205" t="s">
        <v>16</v>
      </c>
      <c r="D109" s="751"/>
      <c r="E109" s="280">
        <f t="shared" si="6"/>
        <v>884149.4</v>
      </c>
      <c r="F109" s="119">
        <v>0</v>
      </c>
      <c r="G109" s="119">
        <v>0</v>
      </c>
      <c r="H109" s="342">
        <f>ROUND((923922+6761.58)*95/100,2)</f>
        <v>884149.4</v>
      </c>
      <c r="I109" s="119">
        <v>0</v>
      </c>
      <c r="J109" s="121">
        <v>0</v>
      </c>
      <c r="K109" s="122"/>
      <c r="L109" s="627"/>
      <c r="M109" s="340">
        <f>'[1]27.08.2013'!$H$109-H109</f>
        <v>569009.15</v>
      </c>
      <c r="N109" s="263">
        <f>'[1]27.08.2013'!$H$109-H109</f>
        <v>569009.15</v>
      </c>
      <c r="Q109" s="261"/>
    </row>
    <row r="110" spans="1:17" ht="11.25" customHeight="1" thickBot="1">
      <c r="A110" s="747"/>
      <c r="B110" s="750"/>
      <c r="C110" s="207" t="s">
        <v>17</v>
      </c>
      <c r="D110" s="751"/>
      <c r="E110" s="281">
        <f t="shared" si="6"/>
        <v>0</v>
      </c>
      <c r="F110" s="119">
        <v>0</v>
      </c>
      <c r="G110" s="119">
        <v>0</v>
      </c>
      <c r="H110" s="343">
        <v>0</v>
      </c>
      <c r="I110" s="123">
        <v>0</v>
      </c>
      <c r="J110" s="125">
        <v>0</v>
      </c>
      <c r="K110" s="126"/>
      <c r="L110" s="627"/>
      <c r="M110" s="340">
        <f>'[1]27.08.2013'!$H$110-H110</f>
        <v>0</v>
      </c>
      <c r="N110" s="263"/>
      <c r="Q110" s="261"/>
    </row>
    <row r="111" spans="1:14" ht="11.25" customHeight="1" thickBot="1">
      <c r="A111" s="747" t="s">
        <v>175</v>
      </c>
      <c r="B111" s="748" t="s">
        <v>185</v>
      </c>
      <c r="C111" s="203" t="s">
        <v>14</v>
      </c>
      <c r="D111" s="751">
        <f>H111+H112</f>
        <v>266130.91</v>
      </c>
      <c r="E111" s="279">
        <f t="shared" si="6"/>
        <v>13306.55</v>
      </c>
      <c r="F111" s="115">
        <v>0</v>
      </c>
      <c r="G111" s="115">
        <v>0</v>
      </c>
      <c r="H111" s="341">
        <f>ROUND((263189+2941.9)*5/100,2)</f>
        <v>13306.55</v>
      </c>
      <c r="I111" s="115">
        <v>0</v>
      </c>
      <c r="J111" s="117">
        <v>0</v>
      </c>
      <c r="K111" s="163"/>
      <c r="L111" s="627"/>
      <c r="M111" s="348">
        <f>'[1]27.08.2013'!$H$111-H111</f>
        <v>2162.9500000000007</v>
      </c>
      <c r="N111" s="263">
        <f>'[1]27.08.2013'!$H$111-H111</f>
        <v>2162.9500000000007</v>
      </c>
    </row>
    <row r="112" spans="1:16" ht="11.25" customHeight="1" thickBot="1">
      <c r="A112" s="747"/>
      <c r="B112" s="749"/>
      <c r="C112" s="205" t="s">
        <v>16</v>
      </c>
      <c r="D112" s="751"/>
      <c r="E112" s="280">
        <f t="shared" si="6"/>
        <v>252824.36</v>
      </c>
      <c r="F112" s="119">
        <v>0</v>
      </c>
      <c r="G112" s="119">
        <v>0</v>
      </c>
      <c r="H112" s="342">
        <f>ROUND((263189+2941.9)*95/100,2)</f>
        <v>252824.36</v>
      </c>
      <c r="I112" s="119">
        <v>0</v>
      </c>
      <c r="J112" s="121">
        <v>0</v>
      </c>
      <c r="K112" s="122"/>
      <c r="L112" s="627"/>
      <c r="M112" s="340">
        <f>'[1]27.08.2013'!$H$112-H112</f>
        <v>41096.04999999999</v>
      </c>
      <c r="N112" s="263">
        <f>'[1]27.08.2013'!$H$112-H112</f>
        <v>41096.04999999999</v>
      </c>
      <c r="O112" s="261"/>
      <c r="P112" s="261"/>
    </row>
    <row r="113" spans="1:16" ht="11.25" customHeight="1" thickBot="1">
      <c r="A113" s="747"/>
      <c r="B113" s="750"/>
      <c r="C113" s="207" t="s">
        <v>17</v>
      </c>
      <c r="D113" s="751"/>
      <c r="E113" s="281">
        <f t="shared" si="6"/>
        <v>0</v>
      </c>
      <c r="F113" s="119">
        <v>0</v>
      </c>
      <c r="G113" s="119">
        <v>0</v>
      </c>
      <c r="H113" s="343">
        <v>0</v>
      </c>
      <c r="I113" s="123">
        <v>0</v>
      </c>
      <c r="J113" s="125">
        <v>0</v>
      </c>
      <c r="K113" s="126"/>
      <c r="L113" s="627"/>
      <c r="M113" s="339"/>
      <c r="N113" s="263"/>
      <c r="P113" s="261"/>
    </row>
    <row r="114" spans="1:14" ht="11.25" customHeight="1" thickBot="1">
      <c r="A114" s="747" t="s">
        <v>176</v>
      </c>
      <c r="B114" s="748" t="s">
        <v>186</v>
      </c>
      <c r="C114" s="203" t="s">
        <v>14</v>
      </c>
      <c r="D114" s="751">
        <f>H114+H115</f>
        <v>288419.18</v>
      </c>
      <c r="E114" s="279">
        <f t="shared" si="6"/>
        <v>14420.96</v>
      </c>
      <c r="F114" s="115">
        <v>0</v>
      </c>
      <c r="G114" s="115">
        <v>0</v>
      </c>
      <c r="H114" s="341">
        <f>ROUND((281306+7113.18)*5/100,2)</f>
        <v>14420.96</v>
      </c>
      <c r="I114" s="115">
        <v>0</v>
      </c>
      <c r="J114" s="117">
        <v>0</v>
      </c>
      <c r="K114" s="163"/>
      <c r="L114" s="627"/>
      <c r="M114" s="348">
        <f>'[1]27.08.2013'!$H$114-H114</f>
        <v>4499.5</v>
      </c>
      <c r="N114" s="263">
        <f>'[1]27.08.2013'!$H$114-H114</f>
        <v>4499.5</v>
      </c>
    </row>
    <row r="115" spans="1:16" ht="11.25" customHeight="1" thickBot="1">
      <c r="A115" s="747"/>
      <c r="B115" s="749"/>
      <c r="C115" s="205" t="s">
        <v>16</v>
      </c>
      <c r="D115" s="751"/>
      <c r="E115" s="280">
        <f t="shared" si="6"/>
        <v>273998.22</v>
      </c>
      <c r="F115" s="119">
        <v>0</v>
      </c>
      <c r="G115" s="119">
        <v>0</v>
      </c>
      <c r="H115" s="342">
        <f>ROUND((281306+7113.18)*95/100,2)</f>
        <v>273998.22</v>
      </c>
      <c r="I115" s="119">
        <v>0</v>
      </c>
      <c r="J115" s="121">
        <v>0</v>
      </c>
      <c r="K115" s="122"/>
      <c r="L115" s="627"/>
      <c r="M115" s="340">
        <f>'[1]27.08.2013'!$H$115-H115</f>
        <v>85490.5</v>
      </c>
      <c r="N115" s="263">
        <f>'[1]27.08.2013'!$H$115-H115</f>
        <v>85490.5</v>
      </c>
      <c r="O115" s="261"/>
      <c r="P115" s="261"/>
    </row>
    <row r="116" spans="1:14" ht="11.25" customHeight="1" thickBot="1">
      <c r="A116" s="747"/>
      <c r="B116" s="750"/>
      <c r="C116" s="207" t="s">
        <v>17</v>
      </c>
      <c r="D116" s="751"/>
      <c r="E116" s="281">
        <f t="shared" si="6"/>
        <v>0</v>
      </c>
      <c r="F116" s="119">
        <v>0</v>
      </c>
      <c r="G116" s="119">
        <v>0</v>
      </c>
      <c r="H116" s="343">
        <v>0</v>
      </c>
      <c r="I116" s="123">
        <v>0</v>
      </c>
      <c r="J116" s="125">
        <v>0</v>
      </c>
      <c r="K116" s="126"/>
      <c r="L116" s="627"/>
      <c r="M116" s="339"/>
      <c r="N116" s="263"/>
    </row>
    <row r="117" spans="1:14" ht="11.25" customHeight="1" thickBot="1">
      <c r="A117" s="747" t="s">
        <v>177</v>
      </c>
      <c r="B117" s="748" t="s">
        <v>187</v>
      </c>
      <c r="C117" s="203" t="s">
        <v>14</v>
      </c>
      <c r="D117" s="751">
        <f>H117+H118</f>
        <v>2424339.15</v>
      </c>
      <c r="E117" s="279">
        <f t="shared" si="6"/>
        <v>121216.96</v>
      </c>
      <c r="F117" s="115">
        <v>0</v>
      </c>
      <c r="G117" s="115">
        <v>0</v>
      </c>
      <c r="H117" s="341">
        <f>ROUND((2379271.6+45067.55)*5/100,2)</f>
        <v>121216.96</v>
      </c>
      <c r="I117" s="115">
        <v>0</v>
      </c>
      <c r="J117" s="117">
        <v>0</v>
      </c>
      <c r="K117" s="163"/>
      <c r="L117" s="627"/>
      <c r="M117" s="348">
        <f>'[1]27.08.2013'!$H$117-H117</f>
        <v>10158.37999999999</v>
      </c>
      <c r="N117" s="263">
        <f>'[1]27.08.2013'!$H$117-H117</f>
        <v>10158.37999999999</v>
      </c>
    </row>
    <row r="118" spans="1:14" ht="11.25" customHeight="1" thickBot="1">
      <c r="A118" s="747"/>
      <c r="B118" s="749"/>
      <c r="C118" s="205" t="s">
        <v>16</v>
      </c>
      <c r="D118" s="751"/>
      <c r="E118" s="280">
        <f t="shared" si="6"/>
        <v>2303122.19</v>
      </c>
      <c r="F118" s="119">
        <v>0</v>
      </c>
      <c r="G118" s="119">
        <v>0</v>
      </c>
      <c r="H118" s="342">
        <f>ROUND((2379271.6+45067.55)*95/100,2)</f>
        <v>2303122.19</v>
      </c>
      <c r="I118" s="119">
        <v>0</v>
      </c>
      <c r="J118" s="121">
        <v>0</v>
      </c>
      <c r="K118" s="122"/>
      <c r="L118" s="627"/>
      <c r="M118" s="340">
        <f>'[1]27.08.2013'!$H$118-H118</f>
        <v>193028.28000000026</v>
      </c>
      <c r="N118" s="263">
        <f>'[1]27.08.2013'!$H$118-H118</f>
        <v>193028.28000000026</v>
      </c>
    </row>
    <row r="119" spans="1:14" s="323" customFormat="1" ht="11.25" customHeight="1" thickBot="1">
      <c r="A119" s="747"/>
      <c r="B119" s="750"/>
      <c r="C119" s="316" t="s">
        <v>17</v>
      </c>
      <c r="D119" s="751"/>
      <c r="E119" s="317">
        <f t="shared" si="6"/>
        <v>0</v>
      </c>
      <c r="F119" s="318">
        <v>0</v>
      </c>
      <c r="G119" s="318">
        <v>0</v>
      </c>
      <c r="H119" s="344">
        <v>0</v>
      </c>
      <c r="I119" s="319">
        <v>0</v>
      </c>
      <c r="J119" s="320">
        <v>0</v>
      </c>
      <c r="K119" s="321"/>
      <c r="L119" s="627"/>
      <c r="M119" s="339"/>
      <c r="N119" s="322"/>
    </row>
    <row r="120" spans="1:14" s="323" customFormat="1" ht="11.25" customHeight="1" thickBot="1">
      <c r="A120" s="747" t="s">
        <v>178</v>
      </c>
      <c r="B120" s="748" t="s">
        <v>193</v>
      </c>
      <c r="C120" s="203" t="s">
        <v>14</v>
      </c>
      <c r="D120" s="751">
        <f>H120+H121</f>
        <v>315512.44</v>
      </c>
      <c r="E120" s="279">
        <f t="shared" si="6"/>
        <v>15775.62</v>
      </c>
      <c r="F120" s="115">
        <v>0</v>
      </c>
      <c r="G120" s="115">
        <v>0</v>
      </c>
      <c r="H120" s="341">
        <f>ROUND((308315+7197.44)*5/100,2)</f>
        <v>15775.62</v>
      </c>
      <c r="I120" s="115">
        <v>0</v>
      </c>
      <c r="J120" s="117">
        <v>0</v>
      </c>
      <c r="K120" s="163"/>
      <c r="L120" s="627"/>
      <c r="M120" s="348">
        <f>'[1]27.08.2013'!$H$120-H120</f>
        <v>12490.249999999998</v>
      </c>
      <c r="N120" s="322">
        <f>'[1]27.08.2013'!$H$120-H120</f>
        <v>12490.249999999998</v>
      </c>
    </row>
    <row r="121" spans="1:14" s="323" customFormat="1" ht="11.25" customHeight="1" thickBot="1">
      <c r="A121" s="747"/>
      <c r="B121" s="749"/>
      <c r="C121" s="205" t="s">
        <v>16</v>
      </c>
      <c r="D121" s="751"/>
      <c r="E121" s="280">
        <f t="shared" si="6"/>
        <v>299736.82</v>
      </c>
      <c r="F121" s="119">
        <v>0</v>
      </c>
      <c r="G121" s="119">
        <v>0</v>
      </c>
      <c r="H121" s="342">
        <f>ROUND((308315+7197.44)*95/100,2)</f>
        <v>299736.82</v>
      </c>
      <c r="I121" s="119">
        <v>0</v>
      </c>
      <c r="J121" s="121">
        <v>0</v>
      </c>
      <c r="K121" s="122"/>
      <c r="L121" s="627"/>
      <c r="M121" s="340">
        <f>'[1]27.08.2013'!$H$121-H121</f>
        <v>237314.74999999994</v>
      </c>
      <c r="N121" s="322">
        <f>'[1]27.08.2013'!$H$121-H121</f>
        <v>237314.74999999994</v>
      </c>
    </row>
    <row r="122" spans="1:18" ht="11.25" customHeight="1" thickBot="1">
      <c r="A122" s="747"/>
      <c r="B122" s="750"/>
      <c r="C122" s="316" t="s">
        <v>17</v>
      </c>
      <c r="D122" s="751"/>
      <c r="E122" s="317">
        <f t="shared" si="6"/>
        <v>0</v>
      </c>
      <c r="F122" s="318">
        <v>0</v>
      </c>
      <c r="G122" s="318">
        <v>0</v>
      </c>
      <c r="H122" s="344">
        <v>0</v>
      </c>
      <c r="I122" s="319">
        <v>0</v>
      </c>
      <c r="J122" s="320">
        <v>0</v>
      </c>
      <c r="K122" s="321"/>
      <c r="L122" s="627"/>
      <c r="M122" s="339"/>
      <c r="N122" s="263"/>
      <c r="O122" s="261"/>
      <c r="P122" s="261"/>
      <c r="Q122" s="261"/>
      <c r="R122" s="261"/>
    </row>
    <row r="123" spans="1:15" ht="11.25" customHeight="1" thickBot="1">
      <c r="A123" s="747" t="s">
        <v>179</v>
      </c>
      <c r="B123" s="748" t="s">
        <v>194</v>
      </c>
      <c r="C123" s="203" t="s">
        <v>14</v>
      </c>
      <c r="D123" s="751">
        <f>H123+H124</f>
        <v>295443.29</v>
      </c>
      <c r="E123" s="279">
        <f t="shared" si="6"/>
        <v>14772.16</v>
      </c>
      <c r="F123" s="115">
        <v>0</v>
      </c>
      <c r="G123" s="115">
        <v>0</v>
      </c>
      <c r="H123" s="341">
        <f>ROUND((292634+2809.29)*5/100,2)</f>
        <v>14772.16</v>
      </c>
      <c r="I123" s="115">
        <v>0</v>
      </c>
      <c r="J123" s="117">
        <v>0</v>
      </c>
      <c r="K123" s="163"/>
      <c r="L123" s="627"/>
      <c r="M123" s="348">
        <f>'[1]27.08.2013'!$H$123-H123</f>
        <v>0</v>
      </c>
      <c r="N123" s="263"/>
      <c r="O123" s="261"/>
    </row>
    <row r="124" spans="1:18" ht="11.25" customHeight="1" thickBot="1">
      <c r="A124" s="747"/>
      <c r="B124" s="749"/>
      <c r="C124" s="205" t="s">
        <v>16</v>
      </c>
      <c r="D124" s="751"/>
      <c r="E124" s="280">
        <f t="shared" si="6"/>
        <v>280671.13</v>
      </c>
      <c r="F124" s="119">
        <v>0</v>
      </c>
      <c r="G124" s="119">
        <v>0</v>
      </c>
      <c r="H124" s="342">
        <f>ROUND((292634+2809.29)*95/100,2)</f>
        <v>280671.13</v>
      </c>
      <c r="I124" s="119">
        <v>0</v>
      </c>
      <c r="J124" s="121">
        <v>0</v>
      </c>
      <c r="K124" s="122"/>
      <c r="L124" s="627"/>
      <c r="M124" s="340">
        <f>'[1]27.08.2013'!$H$124-H124</f>
        <v>0</v>
      </c>
      <c r="N124" s="263"/>
      <c r="R124" s="261"/>
    </row>
    <row r="125" spans="1:14" ht="11.25" customHeight="1" thickBot="1">
      <c r="A125" s="747"/>
      <c r="B125" s="750"/>
      <c r="C125" s="316" t="s">
        <v>17</v>
      </c>
      <c r="D125" s="751"/>
      <c r="E125" s="317">
        <f t="shared" si="6"/>
        <v>0</v>
      </c>
      <c r="F125" s="318">
        <v>0</v>
      </c>
      <c r="G125" s="318">
        <v>0</v>
      </c>
      <c r="H125" s="344">
        <v>0</v>
      </c>
      <c r="I125" s="319">
        <v>0</v>
      </c>
      <c r="J125" s="320">
        <v>0</v>
      </c>
      <c r="K125" s="321"/>
      <c r="L125" s="627"/>
      <c r="M125" s="339"/>
      <c r="N125" s="263"/>
    </row>
    <row r="126" spans="1:14" ht="11.25" customHeight="1" thickBot="1">
      <c r="A126" s="747" t="s">
        <v>180</v>
      </c>
      <c r="B126" s="748" t="s">
        <v>196</v>
      </c>
      <c r="C126" s="203" t="s">
        <v>14</v>
      </c>
      <c r="D126" s="751">
        <f>H126+H127</f>
        <v>78077</v>
      </c>
      <c r="E126" s="279">
        <f>SUM(F126:J126)</f>
        <v>3903.85</v>
      </c>
      <c r="F126" s="115">
        <v>0</v>
      </c>
      <c r="G126" s="115">
        <v>0</v>
      </c>
      <c r="H126" s="341">
        <f>ROUND((76977+1100)*5/100,2)</f>
        <v>3903.85</v>
      </c>
      <c r="I126" s="115">
        <v>0</v>
      </c>
      <c r="J126" s="117">
        <v>0</v>
      </c>
      <c r="K126" s="163"/>
      <c r="L126" s="627"/>
      <c r="M126" s="348">
        <f>'[1]27.08.2013'!$H$126-H126</f>
        <v>3361.6299999999997</v>
      </c>
      <c r="N126" s="263">
        <f>'[1]27.08.2013'!$H$126-H126</f>
        <v>3361.6299999999997</v>
      </c>
    </row>
    <row r="127" spans="1:14" ht="11.25" customHeight="1" thickBot="1">
      <c r="A127" s="747"/>
      <c r="B127" s="749"/>
      <c r="C127" s="205" t="s">
        <v>16</v>
      </c>
      <c r="D127" s="751"/>
      <c r="E127" s="280">
        <f>SUM(F127:J127)</f>
        <v>74173.15</v>
      </c>
      <c r="F127" s="119">
        <v>0</v>
      </c>
      <c r="G127" s="119">
        <v>0</v>
      </c>
      <c r="H127" s="342">
        <f>ROUND((76977+1100)*95/100,2)</f>
        <v>74173.15</v>
      </c>
      <c r="I127" s="119">
        <v>0</v>
      </c>
      <c r="J127" s="121">
        <v>0</v>
      </c>
      <c r="K127" s="122"/>
      <c r="L127" s="627"/>
      <c r="M127" s="340">
        <f>'[1]27.08.2013'!$H$127-H127</f>
        <v>124156.42000000001</v>
      </c>
      <c r="N127" s="340">
        <f>'[1]27.08.2013'!$H$127-H127</f>
        <v>124156.42000000001</v>
      </c>
    </row>
    <row r="128" spans="1:14" ht="11.25" customHeight="1" thickBot="1">
      <c r="A128" s="747"/>
      <c r="B128" s="750"/>
      <c r="C128" s="316" t="s">
        <v>17</v>
      </c>
      <c r="D128" s="751"/>
      <c r="E128" s="317">
        <f>SUM(F128:J128)</f>
        <v>0</v>
      </c>
      <c r="F128" s="318">
        <v>0</v>
      </c>
      <c r="G128" s="318">
        <v>0</v>
      </c>
      <c r="H128" s="344">
        <v>0</v>
      </c>
      <c r="I128" s="319">
        <v>0</v>
      </c>
      <c r="J128" s="320">
        <v>0</v>
      </c>
      <c r="K128" s="321"/>
      <c r="L128" s="627"/>
      <c r="M128" s="339"/>
      <c r="N128" s="339"/>
    </row>
    <row r="129" spans="1:14" ht="11.25" customHeight="1" thickBot="1">
      <c r="A129" s="747" t="s">
        <v>180</v>
      </c>
      <c r="B129" s="748" t="s">
        <v>190</v>
      </c>
      <c r="C129" s="203" t="s">
        <v>14</v>
      </c>
      <c r="D129" s="751">
        <f>H129+H130</f>
        <v>848300.9600000001</v>
      </c>
      <c r="E129" s="279">
        <f t="shared" si="6"/>
        <v>42415.05</v>
      </c>
      <c r="F129" s="115">
        <v>0</v>
      </c>
      <c r="G129" s="115">
        <v>0</v>
      </c>
      <c r="H129" s="341">
        <f>ROUND((835935+12365.96)*5/100,2)</f>
        <v>42415.05</v>
      </c>
      <c r="I129" s="115">
        <v>0</v>
      </c>
      <c r="J129" s="117">
        <v>0</v>
      </c>
      <c r="K129" s="163"/>
      <c r="L129" s="627"/>
      <c r="M129" s="348">
        <f>'[1]27.08.2013'!$H$129-H129</f>
        <v>5346.0999999999985</v>
      </c>
      <c r="N129" s="340">
        <f>'[1]27.08.2013'!$H$129-H129</f>
        <v>5346.0999999999985</v>
      </c>
    </row>
    <row r="130" spans="1:14" ht="11.25" customHeight="1" thickBot="1">
      <c r="A130" s="747"/>
      <c r="B130" s="749"/>
      <c r="C130" s="205" t="s">
        <v>16</v>
      </c>
      <c r="D130" s="751"/>
      <c r="E130" s="280">
        <f t="shared" si="6"/>
        <v>805885.91</v>
      </c>
      <c r="F130" s="119">
        <v>0</v>
      </c>
      <c r="G130" s="119">
        <v>0</v>
      </c>
      <c r="H130" s="342">
        <f>ROUND((835935+12365.96)*95/100,2)</f>
        <v>805885.91</v>
      </c>
      <c r="I130" s="119">
        <v>0</v>
      </c>
      <c r="J130" s="121">
        <v>0</v>
      </c>
      <c r="K130" s="122"/>
      <c r="L130" s="627"/>
      <c r="M130" s="340">
        <f>'[1]27.08.2013'!$H$130-H130</f>
        <v>101575.90000000002</v>
      </c>
      <c r="N130" s="340">
        <f>'[1]27.08.2013'!$H$130-H130</f>
        <v>101575.90000000002</v>
      </c>
    </row>
    <row r="131" spans="1:14" ht="11.25" customHeight="1" thickBot="1">
      <c r="A131" s="747"/>
      <c r="B131" s="750"/>
      <c r="C131" s="316" t="s">
        <v>17</v>
      </c>
      <c r="D131" s="751"/>
      <c r="E131" s="317">
        <f t="shared" si="6"/>
        <v>0</v>
      </c>
      <c r="F131" s="318">
        <v>0</v>
      </c>
      <c r="G131" s="318">
        <v>0</v>
      </c>
      <c r="H131" s="344">
        <v>0</v>
      </c>
      <c r="I131" s="319">
        <v>0</v>
      </c>
      <c r="J131" s="320">
        <v>0</v>
      </c>
      <c r="K131" s="321"/>
      <c r="L131" s="627"/>
      <c r="M131" s="339"/>
      <c r="N131" s="263"/>
    </row>
    <row r="132" spans="1:15" ht="12.75" customHeight="1">
      <c r="A132" s="716"/>
      <c r="B132" s="719" t="s">
        <v>29</v>
      </c>
      <c r="C132" s="215" t="s">
        <v>14</v>
      </c>
      <c r="D132" s="722"/>
      <c r="E132" s="296">
        <f t="shared" si="6"/>
        <v>36515430.28</v>
      </c>
      <c r="F132" s="164">
        <f>F12+F21+F30+F33+F36+F51+F54+F57+F60+F63+F66+F69+F72+F75+F84+F87+F90+F93+F99+F102+F105+F108+F111+F114+F117+F120+F123+F129</f>
        <v>15851953.08</v>
      </c>
      <c r="G132" s="164">
        <f>G12+G21+G30+G33+G36+G51+G54+G57+G60+G63+G66+G69+G69+G72+G75+G84+G87+G90+G93+G99+G102+G105+G108+G111+G114+G117+G120+G123+G129</f>
        <v>11600542.059999999</v>
      </c>
      <c r="H132" s="164">
        <f>H12+H21+H30+H33+H36+H51+H54+H57+H60+H63+H66+H69+H69+H72+H75+H84+H87+H90+H93+H99+H102+H105+H108+H111+H114+H117+H120+H123+H126+H129</f>
        <v>5256932.679999999</v>
      </c>
      <c r="I132" s="164">
        <f>I12+I21+I30+I33+I36+I51+I54+I57+I60+I63+I66+I69+I69+I72+I75+I84+I87+I90+I93+I99+I102+I105+I108+I111+I114+I117+I120+I123+I129</f>
        <v>3806002.46</v>
      </c>
      <c r="J132" s="164">
        <f>J12+J21+J30+J33+J36+J51+J54+J57+J60+J63+J66+J69+J69+J72+J75+J84+J87+J90+J93+J99+J102+J105+J108+J111+J114+J117+J120+J123+J129</f>
        <v>0</v>
      </c>
      <c r="K132" s="166"/>
      <c r="L132" s="627"/>
      <c r="M132" s="339"/>
      <c r="N132" s="263"/>
      <c r="O132" s="261"/>
    </row>
    <row r="133" spans="1:16" ht="12.75" customHeight="1">
      <c r="A133" s="717"/>
      <c r="B133" s="720"/>
      <c r="C133" s="216" t="s">
        <v>16</v>
      </c>
      <c r="D133" s="723"/>
      <c r="E133" s="297">
        <f t="shared" si="6"/>
        <v>11543486.88</v>
      </c>
      <c r="F133" s="167">
        <f>F13+F22+F31+F34+F37+F52+F55+F58+F61+F64+F67+F70+F73+F76+F85+F88+F91+F94+F100+F103+F106+F109+F112+F115+F118+F121+F124+F130</f>
        <v>0</v>
      </c>
      <c r="G133" s="167">
        <f>G13+G22+G31+G34+G37+G52+G55+G58+G61+G64+G67+G70+G73+G76+G85+G88+G91+G94+G100+G103+G106+G109+G112+G115+G118+G121+G124+G130</f>
        <v>6133449.96</v>
      </c>
      <c r="H133" s="167">
        <f>H13+H22+H31+H34+H37+H52+H55+H58+H61+H64+H67+H70+H73+H76+H85+H88+H91+H94+H100+H103+H106+H109+H112+H115+H118+H121+H124+H127+H130</f>
        <v>5410036.920000001</v>
      </c>
      <c r="I133" s="167">
        <f>I13+I22+I31+I34+I37+I52+I55+I58+I61+I64+I67+I70+I73+I76+I85+I88+I91+I94+I100+I103+I106+I109+I112+I115+I118+I121+I124+I130</f>
        <v>0</v>
      </c>
      <c r="J133" s="167">
        <f>J13+J22+J31+J34+J37+J52+J55+J58+J61+J64+J67+J70+J73+J76+J85+J88+J91+J94+J100+J103+J106+J109+J112+J115+J118+J121+J124+J130</f>
        <v>0</v>
      </c>
      <c r="K133" s="169"/>
      <c r="L133" s="627"/>
      <c r="M133" s="340"/>
      <c r="N133" s="263"/>
      <c r="O133" s="261"/>
      <c r="P133" s="261"/>
    </row>
    <row r="134" spans="1:14" ht="12.75" customHeight="1" thickBot="1">
      <c r="A134" s="718"/>
      <c r="B134" s="721"/>
      <c r="C134" s="217" t="s">
        <v>17</v>
      </c>
      <c r="D134" s="724"/>
      <c r="E134" s="298">
        <f t="shared" si="6"/>
        <v>168588975.98</v>
      </c>
      <c r="F134" s="170">
        <f>F14+F23+F32+F35+F38+F53+F56+F59+F62+F65+F68+F71+F74+F77+F86+F89+F92+F95+F101+F104+F107+F110+F113+F116+F119+F122+F125+F131</f>
        <v>3752000</v>
      </c>
      <c r="G134" s="170">
        <f>G14+G23+G32+G35+G38+G53+G56+G59+G62+G65+G68+G71+G74+G77+G86+G89+G92+G95+G101+G104+G107+G110+G113+G116+G119+G122+G125+G131</f>
        <v>83520975.97999999</v>
      </c>
      <c r="H134" s="170">
        <f>H14+H23+H32+H35+H38+H53+H56+H59+H62+H65+H68+H71+H74+H77+H86+H89+H92+H95+H101+H104+H107+H110+H113+H116+H119+H122+H125+H128+H131</f>
        <v>48752000</v>
      </c>
      <c r="I134" s="170">
        <f>I14+I23+I32+I35+I38+I53+I56+I59+I62+I65+I68+I71+I74+I77+I86+I89+I92+I95+I101+I104+I107+I110+I113+I116+I119+I122+I125+I131</f>
        <v>32564000</v>
      </c>
      <c r="J134" s="170">
        <f>J14+J23+J32+J35+J38+J53+J56+J59+J62+J65+J68+J71+J74+J77+J86+J89+J92+J95+J101+J104+J107+J110+J113+J116+J119+J122+J125+J131</f>
        <v>0</v>
      </c>
      <c r="K134" s="171"/>
      <c r="L134" s="627"/>
      <c r="M134" s="340"/>
      <c r="N134" s="263"/>
    </row>
    <row r="135" spans="1:16" ht="12.75" customHeight="1" thickBot="1">
      <c r="A135" s="218"/>
      <c r="B135" s="219"/>
      <c r="C135" s="220"/>
      <c r="D135" s="221"/>
      <c r="E135" s="299"/>
      <c r="F135" s="220"/>
      <c r="G135" s="220"/>
      <c r="H135" s="220"/>
      <c r="I135" s="220"/>
      <c r="J135" s="222"/>
      <c r="K135" s="172"/>
      <c r="L135" s="627"/>
      <c r="M135" s="339"/>
      <c r="N135" s="1"/>
      <c r="P135" s="261"/>
    </row>
    <row r="136" spans="1:14" ht="16.5" customHeight="1" thickBot="1">
      <c r="A136" s="715" t="s">
        <v>30</v>
      </c>
      <c r="B136" s="715"/>
      <c r="C136" s="715"/>
      <c r="D136" s="715"/>
      <c r="E136" s="715"/>
      <c r="F136" s="715"/>
      <c r="G136" s="715"/>
      <c r="H136" s="715"/>
      <c r="I136" s="715"/>
      <c r="J136" s="715"/>
      <c r="K136" s="173"/>
      <c r="L136" s="627"/>
      <c r="M136" s="340"/>
      <c r="N136" s="1"/>
    </row>
    <row r="137" spans="1:16" s="66" customFormat="1" ht="17.25" customHeight="1" thickBot="1">
      <c r="A137" s="669" t="s">
        <v>174</v>
      </c>
      <c r="B137" s="680" t="s">
        <v>97</v>
      </c>
      <c r="C137" s="203" t="s">
        <v>14</v>
      </c>
      <c r="D137" s="673">
        <f>E137+E138+E139</f>
        <v>30809092.020000003</v>
      </c>
      <c r="E137" s="279">
        <f aca="true" t="shared" si="7" ref="E137:E151">SUM(F137:J137)</f>
        <v>29759592.020000003</v>
      </c>
      <c r="F137" s="115">
        <f>100000+11489726.59+933960.56</f>
        <v>12523687.15</v>
      </c>
      <c r="G137" s="115">
        <f>12568687.15+867217.72</f>
        <v>13435904.870000001</v>
      </c>
      <c r="H137" s="115">
        <v>0</v>
      </c>
      <c r="I137" s="115">
        <v>0</v>
      </c>
      <c r="J137" s="117">
        <f>J140+J143+J146+J149</f>
        <v>3800000</v>
      </c>
      <c r="K137" s="118"/>
      <c r="L137" s="627"/>
      <c r="M137" s="339"/>
      <c r="N137" s="262"/>
      <c r="P137" s="262"/>
    </row>
    <row r="138" spans="1:13" s="66" customFormat="1" ht="17.25" customHeight="1" thickBot="1">
      <c r="A138" s="669"/>
      <c r="B138" s="680"/>
      <c r="C138" s="205" t="s">
        <v>16</v>
      </c>
      <c r="D138" s="673"/>
      <c r="E138" s="280">
        <f t="shared" si="7"/>
        <v>1049500</v>
      </c>
      <c r="F138" s="119">
        <f>F141+F144+F147+F150</f>
        <v>0</v>
      </c>
      <c r="G138" s="119">
        <f aca="true" t="shared" si="8" ref="F138:J139">G141+G144+G147+G150</f>
        <v>1049500</v>
      </c>
      <c r="H138" s="119">
        <f t="shared" si="8"/>
        <v>0</v>
      </c>
      <c r="I138" s="119">
        <f t="shared" si="8"/>
        <v>0</v>
      </c>
      <c r="J138" s="121">
        <f t="shared" si="8"/>
        <v>0</v>
      </c>
      <c r="K138" s="122"/>
      <c r="L138" s="627"/>
      <c r="M138" s="339"/>
    </row>
    <row r="139" spans="1:14" s="66" customFormat="1" ht="14.25" customHeight="1" thickBot="1">
      <c r="A139" s="669"/>
      <c r="B139" s="680"/>
      <c r="C139" s="207" t="s">
        <v>17</v>
      </c>
      <c r="D139" s="673"/>
      <c r="E139" s="281">
        <f t="shared" si="7"/>
        <v>0</v>
      </c>
      <c r="F139" s="119">
        <f t="shared" si="8"/>
        <v>0</v>
      </c>
      <c r="G139" s="119">
        <f t="shared" si="8"/>
        <v>0</v>
      </c>
      <c r="H139" s="119">
        <f t="shared" si="8"/>
        <v>0</v>
      </c>
      <c r="I139" s="119">
        <f t="shared" si="8"/>
        <v>0</v>
      </c>
      <c r="J139" s="121">
        <f t="shared" si="8"/>
        <v>0</v>
      </c>
      <c r="K139" s="126"/>
      <c r="L139" s="627"/>
      <c r="M139" s="339"/>
      <c r="N139" s="262"/>
    </row>
    <row r="140" spans="1:13" s="108" customFormat="1" ht="17.25" customHeight="1" hidden="1">
      <c r="A140" s="711"/>
      <c r="B140" s="712" t="s">
        <v>93</v>
      </c>
      <c r="C140" s="209" t="s">
        <v>14</v>
      </c>
      <c r="D140" s="713">
        <f>E140+E141+E142</f>
        <v>4659802.46</v>
      </c>
      <c r="E140" s="300">
        <f t="shared" si="7"/>
        <v>4659802.46</v>
      </c>
      <c r="F140" s="127">
        <v>100000</v>
      </c>
      <c r="G140" s="127">
        <v>0</v>
      </c>
      <c r="H140" s="158">
        <v>0</v>
      </c>
      <c r="I140" s="127">
        <f>513102.46-5213.03+251913.03</f>
        <v>759802.46</v>
      </c>
      <c r="J140" s="139">
        <v>3800000</v>
      </c>
      <c r="K140" s="140"/>
      <c r="L140" s="627"/>
      <c r="M140" s="339"/>
    </row>
    <row r="141" spans="1:15" s="108" customFormat="1" ht="17.25" customHeight="1" hidden="1">
      <c r="A141" s="711"/>
      <c r="B141" s="712"/>
      <c r="C141" s="210" t="s">
        <v>16</v>
      </c>
      <c r="D141" s="713"/>
      <c r="E141" s="301">
        <f t="shared" si="7"/>
        <v>0</v>
      </c>
      <c r="F141" s="131">
        <v>0</v>
      </c>
      <c r="G141" s="131">
        <v>0</v>
      </c>
      <c r="H141" s="174">
        <v>0</v>
      </c>
      <c r="I141" s="131">
        <v>0</v>
      </c>
      <c r="J141" s="175">
        <v>0</v>
      </c>
      <c r="K141" s="176"/>
      <c r="L141" s="627"/>
      <c r="M141" s="339"/>
      <c r="O141" s="109"/>
    </row>
    <row r="142" spans="1:13" s="108" customFormat="1" ht="17.25" customHeight="1" hidden="1">
      <c r="A142" s="711"/>
      <c r="B142" s="712"/>
      <c r="C142" s="211" t="s">
        <v>17</v>
      </c>
      <c r="D142" s="713"/>
      <c r="E142" s="302">
        <f t="shared" si="7"/>
        <v>0</v>
      </c>
      <c r="F142" s="135">
        <v>0</v>
      </c>
      <c r="G142" s="135">
        <v>0</v>
      </c>
      <c r="H142" s="114">
        <v>0</v>
      </c>
      <c r="I142" s="135">
        <v>0</v>
      </c>
      <c r="J142" s="177">
        <v>0</v>
      </c>
      <c r="K142" s="178"/>
      <c r="L142" s="627"/>
      <c r="M142" s="339"/>
    </row>
    <row r="143" spans="1:13" s="108" customFormat="1" ht="17.25" customHeight="1" hidden="1">
      <c r="A143" s="711"/>
      <c r="B143" s="712" t="s">
        <v>94</v>
      </c>
      <c r="C143" s="209" t="s">
        <v>14</v>
      </c>
      <c r="D143" s="714">
        <f>E143+E144+E145</f>
        <v>25975131.46</v>
      </c>
      <c r="E143" s="300">
        <f t="shared" si="7"/>
        <v>24925631.46</v>
      </c>
      <c r="F143" s="127">
        <v>11489726.59</v>
      </c>
      <c r="G143" s="158">
        <v>13435904.87</v>
      </c>
      <c r="H143" s="158">
        <v>0</v>
      </c>
      <c r="I143" s="127">
        <v>0</v>
      </c>
      <c r="J143" s="139">
        <v>0</v>
      </c>
      <c r="K143" s="140"/>
      <c r="L143" s="627"/>
      <c r="M143" s="339"/>
    </row>
    <row r="144" spans="1:13" s="108" customFormat="1" ht="17.25" customHeight="1" hidden="1">
      <c r="A144" s="711"/>
      <c r="B144" s="712"/>
      <c r="C144" s="210" t="s">
        <v>16</v>
      </c>
      <c r="D144" s="714"/>
      <c r="E144" s="301">
        <f t="shared" si="7"/>
        <v>1049500</v>
      </c>
      <c r="F144" s="131">
        <v>0</v>
      </c>
      <c r="G144" s="174">
        <v>1049500</v>
      </c>
      <c r="H144" s="174">
        <v>0</v>
      </c>
      <c r="I144" s="131">
        <v>0</v>
      </c>
      <c r="J144" s="175">
        <v>0</v>
      </c>
      <c r="K144" s="176"/>
      <c r="L144" s="627"/>
      <c r="M144" s="339"/>
    </row>
    <row r="145" spans="1:13" s="108" customFormat="1" ht="17.25" customHeight="1" hidden="1">
      <c r="A145" s="711"/>
      <c r="B145" s="712"/>
      <c r="C145" s="211" t="s">
        <v>17</v>
      </c>
      <c r="D145" s="714"/>
      <c r="E145" s="302">
        <f t="shared" si="7"/>
        <v>0</v>
      </c>
      <c r="F145" s="135">
        <v>0</v>
      </c>
      <c r="G145" s="135">
        <v>0</v>
      </c>
      <c r="H145" s="114">
        <v>0</v>
      </c>
      <c r="I145" s="135">
        <v>0</v>
      </c>
      <c r="J145" s="177">
        <v>0</v>
      </c>
      <c r="K145" s="178"/>
      <c r="L145" s="627"/>
      <c r="M145" s="339"/>
    </row>
    <row r="146" spans="1:13" s="108" customFormat="1" ht="17.25" customHeight="1" hidden="1">
      <c r="A146" s="711"/>
      <c r="B146" s="712" t="s">
        <v>95</v>
      </c>
      <c r="C146" s="209" t="s">
        <v>14</v>
      </c>
      <c r="D146" s="713">
        <f>E146+E147+E148</f>
        <v>0</v>
      </c>
      <c r="E146" s="301">
        <f t="shared" si="7"/>
        <v>0</v>
      </c>
      <c r="F146" s="127">
        <v>0</v>
      </c>
      <c r="G146" s="127">
        <v>0</v>
      </c>
      <c r="H146" s="158">
        <v>0</v>
      </c>
      <c r="I146" s="127">
        <v>0</v>
      </c>
      <c r="J146" s="139">
        <v>0</v>
      </c>
      <c r="K146" s="140"/>
      <c r="L146" s="627"/>
      <c r="M146" s="339"/>
    </row>
    <row r="147" spans="1:13" s="108" customFormat="1" ht="17.25" customHeight="1" hidden="1">
      <c r="A147" s="711"/>
      <c r="B147" s="712"/>
      <c r="C147" s="210" t="s">
        <v>16</v>
      </c>
      <c r="D147" s="713"/>
      <c r="E147" s="301">
        <f t="shared" si="7"/>
        <v>0</v>
      </c>
      <c r="F147" s="131">
        <v>0</v>
      </c>
      <c r="G147" s="131">
        <v>0</v>
      </c>
      <c r="H147" s="131">
        <v>0</v>
      </c>
      <c r="I147" s="131">
        <v>0</v>
      </c>
      <c r="J147" s="175">
        <v>0</v>
      </c>
      <c r="K147" s="176"/>
      <c r="L147" s="627"/>
      <c r="M147" s="339"/>
    </row>
    <row r="148" spans="1:13" s="108" customFormat="1" ht="17.25" customHeight="1" hidden="1">
      <c r="A148" s="711"/>
      <c r="B148" s="712"/>
      <c r="C148" s="211" t="s">
        <v>17</v>
      </c>
      <c r="D148" s="713"/>
      <c r="E148" s="301">
        <f t="shared" si="7"/>
        <v>0</v>
      </c>
      <c r="F148" s="135">
        <v>0</v>
      </c>
      <c r="G148" s="135">
        <v>0</v>
      </c>
      <c r="H148" s="135">
        <v>0</v>
      </c>
      <c r="I148" s="135">
        <v>0</v>
      </c>
      <c r="J148" s="177">
        <v>0</v>
      </c>
      <c r="K148" s="178"/>
      <c r="L148" s="627"/>
      <c r="M148" s="339"/>
    </row>
    <row r="149" spans="1:13" s="108" customFormat="1" ht="17.25" customHeight="1" hidden="1">
      <c r="A149" s="711"/>
      <c r="B149" s="712" t="s">
        <v>96</v>
      </c>
      <c r="C149" s="209" t="s">
        <v>14</v>
      </c>
      <c r="D149" s="713">
        <f>E149+E150+E151</f>
        <v>0</v>
      </c>
      <c r="E149" s="300">
        <f t="shared" si="7"/>
        <v>0</v>
      </c>
      <c r="F149" s="127">
        <v>0</v>
      </c>
      <c r="G149" s="127">
        <v>0</v>
      </c>
      <c r="H149" s="127">
        <v>0</v>
      </c>
      <c r="I149" s="127">
        <v>0</v>
      </c>
      <c r="J149" s="139">
        <v>0</v>
      </c>
      <c r="K149" s="140"/>
      <c r="L149" s="627"/>
      <c r="M149" s="339"/>
    </row>
    <row r="150" spans="1:13" s="108" customFormat="1" ht="17.25" customHeight="1" hidden="1">
      <c r="A150" s="711"/>
      <c r="B150" s="712"/>
      <c r="C150" s="210" t="s">
        <v>16</v>
      </c>
      <c r="D150" s="713"/>
      <c r="E150" s="301">
        <f t="shared" si="7"/>
        <v>0</v>
      </c>
      <c r="F150" s="131">
        <v>0</v>
      </c>
      <c r="G150" s="131">
        <v>0</v>
      </c>
      <c r="H150" s="131">
        <v>0</v>
      </c>
      <c r="I150" s="131">
        <v>0</v>
      </c>
      <c r="J150" s="175">
        <v>0</v>
      </c>
      <c r="K150" s="176"/>
      <c r="L150" s="627"/>
      <c r="M150" s="339"/>
    </row>
    <row r="151" spans="1:13" s="108" customFormat="1" ht="17.25" customHeight="1" hidden="1">
      <c r="A151" s="711"/>
      <c r="B151" s="712"/>
      <c r="C151" s="211" t="s">
        <v>17</v>
      </c>
      <c r="D151" s="713"/>
      <c r="E151" s="302">
        <f t="shared" si="7"/>
        <v>0</v>
      </c>
      <c r="F151" s="135">
        <v>0</v>
      </c>
      <c r="G151" s="135">
        <v>0</v>
      </c>
      <c r="H151" s="135">
        <v>0</v>
      </c>
      <c r="I151" s="135">
        <v>0</v>
      </c>
      <c r="J151" s="177">
        <v>0</v>
      </c>
      <c r="K151" s="178"/>
      <c r="L151" s="627"/>
      <c r="M151" s="339"/>
    </row>
    <row r="152" spans="1:13" s="66" customFormat="1" ht="17.25" customHeight="1" thickBot="1">
      <c r="A152" s="705"/>
      <c r="B152" s="706" t="s">
        <v>47</v>
      </c>
      <c r="C152" s="215" t="s">
        <v>14</v>
      </c>
      <c r="D152" s="707"/>
      <c r="E152" s="296">
        <f aca="true" t="shared" si="9" ref="E152:J154">E137</f>
        <v>29759592.020000003</v>
      </c>
      <c r="F152" s="164">
        <f t="shared" si="9"/>
        <v>12523687.15</v>
      </c>
      <c r="G152" s="164">
        <f t="shared" si="9"/>
        <v>13435904.870000001</v>
      </c>
      <c r="H152" s="164">
        <v>0</v>
      </c>
      <c r="I152" s="164">
        <f t="shared" si="9"/>
        <v>0</v>
      </c>
      <c r="J152" s="165">
        <f t="shared" si="9"/>
        <v>3800000</v>
      </c>
      <c r="K152" s="166"/>
      <c r="L152" s="627"/>
      <c r="M152" s="339"/>
    </row>
    <row r="153" spans="1:15" s="66" customFormat="1" ht="17.25" customHeight="1" thickBot="1">
      <c r="A153" s="705"/>
      <c r="B153" s="706"/>
      <c r="C153" s="216" t="s">
        <v>16</v>
      </c>
      <c r="D153" s="707"/>
      <c r="E153" s="297">
        <f t="shared" si="9"/>
        <v>1049500</v>
      </c>
      <c r="F153" s="167">
        <f t="shared" si="9"/>
        <v>0</v>
      </c>
      <c r="G153" s="167">
        <f t="shared" si="9"/>
        <v>1049500</v>
      </c>
      <c r="H153" s="167">
        <f t="shared" si="9"/>
        <v>0</v>
      </c>
      <c r="I153" s="167">
        <f t="shared" si="9"/>
        <v>0</v>
      </c>
      <c r="J153" s="168">
        <f t="shared" si="9"/>
        <v>0</v>
      </c>
      <c r="K153" s="169"/>
      <c r="L153" s="627"/>
      <c r="M153" s="339"/>
      <c r="N153" s="262"/>
      <c r="O153" s="262"/>
    </row>
    <row r="154" spans="1:13" s="66" customFormat="1" ht="16.5" customHeight="1" thickBot="1">
      <c r="A154" s="705"/>
      <c r="B154" s="706"/>
      <c r="C154" s="217" t="s">
        <v>17</v>
      </c>
      <c r="D154" s="707"/>
      <c r="E154" s="298">
        <f t="shared" si="9"/>
        <v>0</v>
      </c>
      <c r="F154" s="170">
        <f t="shared" si="9"/>
        <v>0</v>
      </c>
      <c r="G154" s="170">
        <f t="shared" si="9"/>
        <v>0</v>
      </c>
      <c r="H154" s="170">
        <f t="shared" si="9"/>
        <v>0</v>
      </c>
      <c r="I154" s="170">
        <f t="shared" si="9"/>
        <v>0</v>
      </c>
      <c r="J154" s="170">
        <f t="shared" si="9"/>
        <v>0</v>
      </c>
      <c r="K154" s="171"/>
      <c r="L154" s="627"/>
      <c r="M154" s="339"/>
    </row>
    <row r="155" spans="1:13" ht="17.25" customHeight="1" hidden="1">
      <c r="A155" s="708"/>
      <c r="B155" s="709"/>
      <c r="C155" s="223"/>
      <c r="D155" s="710"/>
      <c r="E155" s="223"/>
      <c r="F155" s="223"/>
      <c r="G155" s="223"/>
      <c r="H155" s="223"/>
      <c r="I155" s="223"/>
      <c r="J155" s="223"/>
      <c r="K155" s="179"/>
      <c r="L155" s="627"/>
      <c r="M155" s="339"/>
    </row>
    <row r="156" spans="1:13" ht="17.25" customHeight="1" hidden="1">
      <c r="A156" s="708"/>
      <c r="B156" s="709"/>
      <c r="C156" s="224"/>
      <c r="D156" s="710"/>
      <c r="E156" s="224"/>
      <c r="F156" s="224"/>
      <c r="G156" s="224"/>
      <c r="H156" s="224"/>
      <c r="I156" s="224"/>
      <c r="J156" s="224"/>
      <c r="K156" s="179"/>
      <c r="L156" s="627"/>
      <c r="M156" s="339"/>
    </row>
    <row r="157" spans="1:13" ht="17.25" customHeight="1" hidden="1">
      <c r="A157" s="708"/>
      <c r="B157" s="709"/>
      <c r="C157" s="225"/>
      <c r="D157" s="710"/>
      <c r="E157" s="225"/>
      <c r="F157" s="225"/>
      <c r="G157" s="225"/>
      <c r="H157" s="225"/>
      <c r="I157" s="225"/>
      <c r="J157" s="225"/>
      <c r="K157" s="180"/>
      <c r="L157" s="627"/>
      <c r="M157" s="339"/>
    </row>
    <row r="158" spans="1:13" ht="17.25" customHeight="1" hidden="1">
      <c r="A158" s="226"/>
      <c r="B158" s="227"/>
      <c r="C158" s="224"/>
      <c r="D158" s="228"/>
      <c r="E158" s="224"/>
      <c r="F158" s="224"/>
      <c r="G158" s="224"/>
      <c r="H158" s="224"/>
      <c r="I158" s="224"/>
      <c r="J158" s="224"/>
      <c r="K158" s="179"/>
      <c r="L158" s="627"/>
      <c r="M158" s="339"/>
    </row>
    <row r="159" spans="1:13" ht="18" customHeight="1" thickBot="1">
      <c r="A159" s="704" t="s">
        <v>48</v>
      </c>
      <c r="B159" s="704"/>
      <c r="C159" s="704"/>
      <c r="D159" s="704"/>
      <c r="E159" s="704"/>
      <c r="F159" s="704"/>
      <c r="G159" s="704"/>
      <c r="H159" s="704"/>
      <c r="I159" s="704"/>
      <c r="J159" s="704"/>
      <c r="K159" s="181"/>
      <c r="L159" s="627"/>
      <c r="M159" s="339"/>
    </row>
    <row r="160" spans="1:13" ht="15" customHeight="1" thickBot="1">
      <c r="A160" s="669" t="s">
        <v>175</v>
      </c>
      <c r="B160" s="680" t="s">
        <v>49</v>
      </c>
      <c r="C160" s="203" t="s">
        <v>14</v>
      </c>
      <c r="D160" s="692">
        <v>450000</v>
      </c>
      <c r="E160" s="303">
        <f aca="true" t="shared" si="10" ref="E160:E223">SUM(F160:J160)</f>
        <v>45899.6</v>
      </c>
      <c r="F160" s="119">
        <f>45000+899.6</f>
        <v>45899.6</v>
      </c>
      <c r="G160" s="203">
        <v>0</v>
      </c>
      <c r="H160" s="203">
        <v>0</v>
      </c>
      <c r="I160" s="203">
        <v>0</v>
      </c>
      <c r="J160" s="204">
        <v>0</v>
      </c>
      <c r="K160" s="667" t="s">
        <v>129</v>
      </c>
      <c r="L160" s="627"/>
      <c r="M160" s="339"/>
    </row>
    <row r="161" spans="1:13" ht="15" customHeight="1" thickBot="1">
      <c r="A161" s="669"/>
      <c r="B161" s="680"/>
      <c r="C161" s="205" t="s">
        <v>16</v>
      </c>
      <c r="D161" s="692"/>
      <c r="E161" s="304">
        <f t="shared" si="10"/>
        <v>405000</v>
      </c>
      <c r="F161" s="119">
        <f>405000</f>
        <v>405000</v>
      </c>
      <c r="G161" s="205">
        <v>0</v>
      </c>
      <c r="H161" s="205">
        <v>0</v>
      </c>
      <c r="I161" s="205">
        <v>0</v>
      </c>
      <c r="J161" s="206">
        <v>0</v>
      </c>
      <c r="K161" s="733"/>
      <c r="L161" s="627"/>
      <c r="M161" s="339"/>
    </row>
    <row r="162" spans="1:13" ht="15" customHeight="1" thickBot="1">
      <c r="A162" s="669"/>
      <c r="B162" s="680"/>
      <c r="C162" s="207" t="s">
        <v>17</v>
      </c>
      <c r="D162" s="692"/>
      <c r="E162" s="304">
        <v>0</v>
      </c>
      <c r="F162" s="123">
        <v>0</v>
      </c>
      <c r="G162" s="207" t="s">
        <v>182</v>
      </c>
      <c r="H162" s="207">
        <v>0</v>
      </c>
      <c r="I162" s="207">
        <v>0</v>
      </c>
      <c r="J162" s="208">
        <v>0</v>
      </c>
      <c r="K162" s="733"/>
      <c r="L162" s="627"/>
      <c r="M162" s="339"/>
    </row>
    <row r="163" spans="1:13" ht="15" customHeight="1" thickBot="1">
      <c r="A163" s="669" t="s">
        <v>176</v>
      </c>
      <c r="B163" s="680" t="s">
        <v>130</v>
      </c>
      <c r="C163" s="203" t="s">
        <v>14</v>
      </c>
      <c r="D163" s="692">
        <f>D166+D169+D172+D175+D178+D181</f>
        <v>41563500</v>
      </c>
      <c r="E163" s="305">
        <f t="shared" si="10"/>
        <v>0</v>
      </c>
      <c r="F163" s="203">
        <f aca="true" t="shared" si="11" ref="F163:J165">F166+F169+F172+F175+F178+F181</f>
        <v>0</v>
      </c>
      <c r="G163" s="203">
        <f t="shared" si="11"/>
        <v>0</v>
      </c>
      <c r="H163" s="203">
        <f t="shared" si="11"/>
        <v>0</v>
      </c>
      <c r="I163" s="203">
        <f t="shared" si="11"/>
        <v>0</v>
      </c>
      <c r="J163" s="204">
        <f t="shared" si="11"/>
        <v>0</v>
      </c>
      <c r="K163" s="733"/>
      <c r="L163" s="627"/>
      <c r="M163" s="339"/>
    </row>
    <row r="164" spans="1:13" ht="15" customHeight="1" thickBot="1">
      <c r="A164" s="669"/>
      <c r="B164" s="680"/>
      <c r="C164" s="205" t="s">
        <v>16</v>
      </c>
      <c r="D164" s="692"/>
      <c r="E164" s="306">
        <f t="shared" si="10"/>
        <v>0</v>
      </c>
      <c r="F164" s="205">
        <f t="shared" si="11"/>
        <v>0</v>
      </c>
      <c r="G164" s="205">
        <f t="shared" si="11"/>
        <v>0</v>
      </c>
      <c r="H164" s="205">
        <f t="shared" si="11"/>
        <v>0</v>
      </c>
      <c r="I164" s="205">
        <f t="shared" si="11"/>
        <v>0</v>
      </c>
      <c r="J164" s="205">
        <f t="shared" si="11"/>
        <v>0</v>
      </c>
      <c r="K164" s="733"/>
      <c r="L164" s="627"/>
      <c r="M164" s="339"/>
    </row>
    <row r="165" spans="1:13" ht="15" customHeight="1" thickBot="1">
      <c r="A165" s="669"/>
      <c r="B165" s="680"/>
      <c r="C165" s="207" t="s">
        <v>17</v>
      </c>
      <c r="D165" s="692"/>
      <c r="E165" s="307">
        <f t="shared" si="10"/>
        <v>0</v>
      </c>
      <c r="F165" s="207">
        <f t="shared" si="11"/>
        <v>0</v>
      </c>
      <c r="G165" s="207">
        <f t="shared" si="11"/>
        <v>0</v>
      </c>
      <c r="H165" s="207">
        <f t="shared" si="11"/>
        <v>0</v>
      </c>
      <c r="I165" s="207">
        <f t="shared" si="11"/>
        <v>0</v>
      </c>
      <c r="J165" s="207">
        <f t="shared" si="11"/>
        <v>0</v>
      </c>
      <c r="K165" s="733"/>
      <c r="L165" s="627"/>
      <c r="M165" s="339"/>
    </row>
    <row r="166" spans="1:13" ht="13.5" customHeight="1" hidden="1">
      <c r="A166" s="694"/>
      <c r="B166" s="694" t="s">
        <v>98</v>
      </c>
      <c r="C166" s="229" t="s">
        <v>14</v>
      </c>
      <c r="D166" s="703">
        <v>2601500</v>
      </c>
      <c r="E166" s="308">
        <f t="shared" si="10"/>
        <v>0</v>
      </c>
      <c r="F166" s="229">
        <v>0</v>
      </c>
      <c r="G166" s="212">
        <v>0</v>
      </c>
      <c r="H166" s="229">
        <v>0</v>
      </c>
      <c r="I166" s="229">
        <v>0</v>
      </c>
      <c r="J166" s="230">
        <v>0</v>
      </c>
      <c r="K166" s="733"/>
      <c r="L166" s="627"/>
      <c r="M166" s="339"/>
    </row>
    <row r="167" spans="1:13" ht="13.5" customHeight="1" hidden="1">
      <c r="A167" s="694"/>
      <c r="B167" s="694"/>
      <c r="C167" s="231" t="s">
        <v>16</v>
      </c>
      <c r="D167" s="703"/>
      <c r="E167" s="309">
        <f t="shared" si="10"/>
        <v>0</v>
      </c>
      <c r="F167" s="231">
        <v>0</v>
      </c>
      <c r="G167" s="213">
        <v>0</v>
      </c>
      <c r="H167" s="231">
        <v>0</v>
      </c>
      <c r="I167" s="231">
        <v>0</v>
      </c>
      <c r="J167" s="232">
        <v>0</v>
      </c>
      <c r="K167" s="733"/>
      <c r="L167" s="627"/>
      <c r="M167" s="339"/>
    </row>
    <row r="168" spans="1:13" ht="13.5" customHeight="1" hidden="1">
      <c r="A168" s="694"/>
      <c r="B168" s="694"/>
      <c r="C168" s="233" t="s">
        <v>17</v>
      </c>
      <c r="D168" s="703"/>
      <c r="E168" s="310">
        <f t="shared" si="10"/>
        <v>0</v>
      </c>
      <c r="F168" s="233">
        <v>0</v>
      </c>
      <c r="G168" s="233" t="s">
        <v>182</v>
      </c>
      <c r="H168" s="233">
        <v>0</v>
      </c>
      <c r="I168" s="233">
        <v>0</v>
      </c>
      <c r="J168" s="234">
        <v>0</v>
      </c>
      <c r="K168" s="733"/>
      <c r="L168" s="627"/>
      <c r="M168" s="339"/>
    </row>
    <row r="169" spans="1:13" ht="13.5" customHeight="1" hidden="1">
      <c r="A169" s="694"/>
      <c r="B169" s="694" t="s">
        <v>99</v>
      </c>
      <c r="C169" s="229" t="s">
        <v>14</v>
      </c>
      <c r="D169" s="696" t="s">
        <v>145</v>
      </c>
      <c r="E169" s="308">
        <f t="shared" si="10"/>
        <v>0</v>
      </c>
      <c r="F169" s="229">
        <v>0</v>
      </c>
      <c r="G169" s="229">
        <v>0</v>
      </c>
      <c r="H169" s="229">
        <v>0</v>
      </c>
      <c r="I169" s="229">
        <v>0</v>
      </c>
      <c r="J169" s="230">
        <v>0</v>
      </c>
      <c r="K169" s="733"/>
      <c r="L169" s="627"/>
      <c r="M169" s="339"/>
    </row>
    <row r="170" spans="1:13" ht="13.5" customHeight="1" hidden="1">
      <c r="A170" s="694"/>
      <c r="B170" s="694"/>
      <c r="C170" s="231" t="s">
        <v>16</v>
      </c>
      <c r="D170" s="696"/>
      <c r="E170" s="309">
        <f t="shared" si="10"/>
        <v>0</v>
      </c>
      <c r="F170" s="231">
        <v>0</v>
      </c>
      <c r="G170" s="231">
        <v>0</v>
      </c>
      <c r="H170" s="231">
        <v>0</v>
      </c>
      <c r="I170" s="231">
        <v>0</v>
      </c>
      <c r="J170" s="232">
        <v>0</v>
      </c>
      <c r="K170" s="733"/>
      <c r="L170" s="627"/>
      <c r="M170" s="339"/>
    </row>
    <row r="171" spans="1:13" ht="13.5" customHeight="1" hidden="1">
      <c r="A171" s="694"/>
      <c r="B171" s="694"/>
      <c r="C171" s="233" t="s">
        <v>17</v>
      </c>
      <c r="D171" s="696"/>
      <c r="E171" s="311">
        <f t="shared" si="10"/>
        <v>0</v>
      </c>
      <c r="F171" s="233">
        <v>0</v>
      </c>
      <c r="G171" s="233">
        <v>0</v>
      </c>
      <c r="H171" s="233">
        <v>0</v>
      </c>
      <c r="I171" s="233">
        <v>0</v>
      </c>
      <c r="J171" s="234">
        <v>0</v>
      </c>
      <c r="K171" s="733"/>
      <c r="L171" s="627"/>
      <c r="M171" s="339"/>
    </row>
    <row r="172" spans="1:13" ht="13.5" customHeight="1" hidden="1">
      <c r="A172" s="694"/>
      <c r="B172" s="694" t="s">
        <v>100</v>
      </c>
      <c r="C172" s="229" t="s">
        <v>14</v>
      </c>
      <c r="D172" s="696" t="s">
        <v>144</v>
      </c>
      <c r="E172" s="308">
        <f t="shared" si="10"/>
        <v>0</v>
      </c>
      <c r="F172" s="229">
        <v>0</v>
      </c>
      <c r="G172" s="229">
        <v>0</v>
      </c>
      <c r="H172" s="229">
        <v>0</v>
      </c>
      <c r="I172" s="229">
        <v>0</v>
      </c>
      <c r="J172" s="230">
        <v>0</v>
      </c>
      <c r="K172" s="733"/>
      <c r="L172" s="627"/>
      <c r="M172" s="339"/>
    </row>
    <row r="173" spans="1:13" ht="13.5" customHeight="1" hidden="1">
      <c r="A173" s="694"/>
      <c r="B173" s="694"/>
      <c r="C173" s="231" t="s">
        <v>16</v>
      </c>
      <c r="D173" s="696"/>
      <c r="E173" s="309">
        <f t="shared" si="10"/>
        <v>0</v>
      </c>
      <c r="F173" s="231">
        <v>0</v>
      </c>
      <c r="G173" s="231">
        <v>0</v>
      </c>
      <c r="H173" s="231">
        <v>0</v>
      </c>
      <c r="I173" s="231">
        <v>0</v>
      </c>
      <c r="J173" s="232">
        <v>0</v>
      </c>
      <c r="K173" s="733"/>
      <c r="L173" s="627"/>
      <c r="M173" s="339"/>
    </row>
    <row r="174" spans="1:13" ht="12" customHeight="1" hidden="1">
      <c r="A174" s="694"/>
      <c r="B174" s="694"/>
      <c r="C174" s="233" t="s">
        <v>17</v>
      </c>
      <c r="D174" s="696"/>
      <c r="E174" s="311">
        <f t="shared" si="10"/>
        <v>0</v>
      </c>
      <c r="F174" s="233">
        <v>0</v>
      </c>
      <c r="G174" s="233">
        <v>0</v>
      </c>
      <c r="H174" s="233">
        <v>0</v>
      </c>
      <c r="I174" s="233">
        <v>0</v>
      </c>
      <c r="J174" s="234">
        <v>0</v>
      </c>
      <c r="K174" s="733"/>
      <c r="L174" s="627"/>
      <c r="M174" s="339"/>
    </row>
    <row r="175" spans="1:14" ht="13.5" customHeight="1" hidden="1">
      <c r="A175" s="694"/>
      <c r="B175" s="694" t="s">
        <v>103</v>
      </c>
      <c r="C175" s="229" t="s">
        <v>14</v>
      </c>
      <c r="D175" s="695" t="s">
        <v>143</v>
      </c>
      <c r="E175" s="308">
        <f t="shared" si="10"/>
        <v>0</v>
      </c>
      <c r="F175" s="229">
        <v>0</v>
      </c>
      <c r="G175" s="212">
        <v>0</v>
      </c>
      <c r="H175" s="212">
        <v>0</v>
      </c>
      <c r="I175" s="229">
        <v>0</v>
      </c>
      <c r="J175" s="230">
        <v>0</v>
      </c>
      <c r="K175" s="733"/>
      <c r="L175" s="627"/>
      <c r="M175" s="339"/>
      <c r="N175" s="49"/>
    </row>
    <row r="176" spans="1:14" ht="13.5" customHeight="1" hidden="1">
      <c r="A176" s="694"/>
      <c r="B176" s="694"/>
      <c r="C176" s="231" t="s">
        <v>16</v>
      </c>
      <c r="D176" s="695"/>
      <c r="E176" s="309">
        <f t="shared" si="10"/>
        <v>0</v>
      </c>
      <c r="F176" s="231">
        <v>0</v>
      </c>
      <c r="G176" s="213">
        <v>0</v>
      </c>
      <c r="H176" s="213">
        <v>0</v>
      </c>
      <c r="I176" s="231">
        <v>0</v>
      </c>
      <c r="J176" s="232">
        <v>0</v>
      </c>
      <c r="K176" s="733"/>
      <c r="L176" s="627"/>
      <c r="M176" s="339"/>
      <c r="N176" s="49"/>
    </row>
    <row r="177" spans="1:13" ht="13.5" customHeight="1" hidden="1">
      <c r="A177" s="694"/>
      <c r="B177" s="694"/>
      <c r="C177" s="233" t="s">
        <v>17</v>
      </c>
      <c r="D177" s="695"/>
      <c r="E177" s="311">
        <f t="shared" si="10"/>
        <v>0</v>
      </c>
      <c r="F177" s="233">
        <v>0</v>
      </c>
      <c r="G177" s="214">
        <v>0</v>
      </c>
      <c r="H177" s="214">
        <v>0</v>
      </c>
      <c r="I177" s="233">
        <v>0</v>
      </c>
      <c r="J177" s="234">
        <v>0</v>
      </c>
      <c r="K177" s="733"/>
      <c r="L177" s="627"/>
      <c r="M177" s="339"/>
    </row>
    <row r="178" spans="1:13" ht="13.5" customHeight="1" hidden="1">
      <c r="A178" s="694"/>
      <c r="B178" s="694" t="s">
        <v>101</v>
      </c>
      <c r="C178" s="229" t="s">
        <v>14</v>
      </c>
      <c r="D178" s="695" t="s">
        <v>142</v>
      </c>
      <c r="E178" s="308">
        <f t="shared" si="10"/>
        <v>0</v>
      </c>
      <c r="F178" s="229">
        <v>0</v>
      </c>
      <c r="G178" s="229">
        <v>0</v>
      </c>
      <c r="H178" s="212">
        <v>0</v>
      </c>
      <c r="I178" s="212">
        <v>0</v>
      </c>
      <c r="J178" s="230" t="s">
        <v>156</v>
      </c>
      <c r="K178" s="733"/>
      <c r="L178" s="627"/>
      <c r="M178" s="339"/>
    </row>
    <row r="179" spans="1:13" ht="13.5" customHeight="1" hidden="1">
      <c r="A179" s="694"/>
      <c r="B179" s="694"/>
      <c r="C179" s="231" t="s">
        <v>16</v>
      </c>
      <c r="D179" s="695"/>
      <c r="E179" s="309">
        <f t="shared" si="10"/>
        <v>0</v>
      </c>
      <c r="F179" s="231">
        <v>0</v>
      </c>
      <c r="G179" s="231">
        <v>0</v>
      </c>
      <c r="H179" s="231">
        <v>0</v>
      </c>
      <c r="I179" s="231">
        <v>0</v>
      </c>
      <c r="J179" s="232">
        <v>0</v>
      </c>
      <c r="K179" s="733"/>
      <c r="L179" s="627"/>
      <c r="M179" s="339"/>
    </row>
    <row r="180" spans="1:13" ht="13.5" customHeight="1" hidden="1">
      <c r="A180" s="694"/>
      <c r="B180" s="694"/>
      <c r="C180" s="233" t="s">
        <v>17</v>
      </c>
      <c r="D180" s="695"/>
      <c r="E180" s="311">
        <f t="shared" si="10"/>
        <v>0</v>
      </c>
      <c r="F180" s="233">
        <v>0</v>
      </c>
      <c r="G180" s="233">
        <v>0</v>
      </c>
      <c r="H180" s="233">
        <v>0</v>
      </c>
      <c r="I180" s="233">
        <v>0</v>
      </c>
      <c r="J180" s="234">
        <v>0</v>
      </c>
      <c r="K180" s="733"/>
      <c r="L180" s="627"/>
      <c r="M180" s="339"/>
    </row>
    <row r="181" spans="1:15" ht="13.5" customHeight="1" hidden="1">
      <c r="A181" s="694"/>
      <c r="B181" s="694" t="s">
        <v>102</v>
      </c>
      <c r="C181" s="229" t="s">
        <v>14</v>
      </c>
      <c r="D181" s="695">
        <f>E181+E182+E183</f>
        <v>0</v>
      </c>
      <c r="E181" s="308">
        <f t="shared" si="10"/>
        <v>0</v>
      </c>
      <c r="F181" s="229">
        <v>0</v>
      </c>
      <c r="G181" s="229">
        <v>0</v>
      </c>
      <c r="H181" s="229">
        <v>0</v>
      </c>
      <c r="I181" s="229">
        <v>0</v>
      </c>
      <c r="J181" s="230">
        <v>0</v>
      </c>
      <c r="K181" s="733"/>
      <c r="L181" s="627"/>
      <c r="M181" s="339"/>
      <c r="O181" s="49"/>
    </row>
    <row r="182" spans="1:13" ht="13.5" customHeight="1" hidden="1">
      <c r="A182" s="694"/>
      <c r="B182" s="694"/>
      <c r="C182" s="231" t="s">
        <v>16</v>
      </c>
      <c r="D182" s="695"/>
      <c r="E182" s="309">
        <f t="shared" si="10"/>
        <v>0</v>
      </c>
      <c r="F182" s="231">
        <v>0</v>
      </c>
      <c r="G182" s="231">
        <v>0</v>
      </c>
      <c r="H182" s="231">
        <v>0</v>
      </c>
      <c r="I182" s="231">
        <v>0</v>
      </c>
      <c r="J182" s="232">
        <v>0</v>
      </c>
      <c r="K182" s="733"/>
      <c r="L182" s="627"/>
      <c r="M182" s="339"/>
    </row>
    <row r="183" spans="1:13" ht="13.5" customHeight="1" hidden="1">
      <c r="A183" s="694"/>
      <c r="B183" s="694"/>
      <c r="C183" s="233" t="s">
        <v>17</v>
      </c>
      <c r="D183" s="695"/>
      <c r="E183" s="311">
        <f t="shared" si="10"/>
        <v>0</v>
      </c>
      <c r="F183" s="233">
        <v>0</v>
      </c>
      <c r="G183" s="233">
        <v>0</v>
      </c>
      <c r="H183" s="233">
        <v>0</v>
      </c>
      <c r="I183" s="233">
        <v>0</v>
      </c>
      <c r="J183" s="234">
        <v>0</v>
      </c>
      <c r="K183" s="733"/>
      <c r="L183" s="627"/>
      <c r="M183" s="339"/>
    </row>
    <row r="184" spans="1:13" ht="13.5" customHeight="1" thickBot="1">
      <c r="A184" s="674" t="s">
        <v>177</v>
      </c>
      <c r="B184" s="680" t="s">
        <v>131</v>
      </c>
      <c r="C184" s="203" t="s">
        <v>14</v>
      </c>
      <c r="D184" s="692">
        <f>D187+D190+D193</f>
        <v>4244000</v>
      </c>
      <c r="E184" s="305">
        <f t="shared" si="10"/>
        <v>0</v>
      </c>
      <c r="F184" s="203">
        <f>F187+F190+F193</f>
        <v>0</v>
      </c>
      <c r="G184" s="203">
        <f>G187+G190+G193</f>
        <v>0</v>
      </c>
      <c r="H184" s="203">
        <f>H187+H190+H193</f>
        <v>0</v>
      </c>
      <c r="I184" s="203">
        <f>I187+I190+I193</f>
        <v>0</v>
      </c>
      <c r="J184" s="204">
        <f>J187+J190+J193</f>
        <v>0</v>
      </c>
      <c r="K184" s="733"/>
      <c r="L184" s="627"/>
      <c r="M184" s="339"/>
    </row>
    <row r="185" spans="1:13" ht="13.5" thickBot="1">
      <c r="A185" s="675"/>
      <c r="B185" s="680"/>
      <c r="C185" s="205" t="s">
        <v>16</v>
      </c>
      <c r="D185" s="692"/>
      <c r="E185" s="306">
        <f t="shared" si="10"/>
        <v>0</v>
      </c>
      <c r="F185" s="205">
        <f>F188+F191+F194</f>
        <v>0</v>
      </c>
      <c r="G185" s="205">
        <f aca="true" t="shared" si="12" ref="G185:J186">G188+G191+G194</f>
        <v>0</v>
      </c>
      <c r="H185" s="205">
        <f t="shared" si="12"/>
        <v>0</v>
      </c>
      <c r="I185" s="205">
        <f t="shared" si="12"/>
        <v>0</v>
      </c>
      <c r="J185" s="206">
        <f t="shared" si="12"/>
        <v>0</v>
      </c>
      <c r="K185" s="733"/>
      <c r="L185" s="627"/>
      <c r="M185" s="339"/>
    </row>
    <row r="186" spans="1:13" ht="20.25" customHeight="1" thickBot="1">
      <c r="A186" s="676"/>
      <c r="B186" s="680"/>
      <c r="C186" s="207" t="s">
        <v>17</v>
      </c>
      <c r="D186" s="692"/>
      <c r="E186" s="307">
        <f t="shared" si="10"/>
        <v>0</v>
      </c>
      <c r="F186" s="207">
        <f>F189+F192+F195</f>
        <v>0</v>
      </c>
      <c r="G186" s="207">
        <f t="shared" si="12"/>
        <v>0</v>
      </c>
      <c r="H186" s="207">
        <f t="shared" si="12"/>
        <v>0</v>
      </c>
      <c r="I186" s="207">
        <f t="shared" si="12"/>
        <v>0</v>
      </c>
      <c r="J186" s="208">
        <f t="shared" si="12"/>
        <v>0</v>
      </c>
      <c r="K186" s="733"/>
      <c r="L186" s="627"/>
      <c r="M186" s="339"/>
    </row>
    <row r="187" spans="1:13" ht="13.5" customHeight="1" hidden="1">
      <c r="A187" s="697"/>
      <c r="B187" s="694" t="s">
        <v>108</v>
      </c>
      <c r="C187" s="229" t="s">
        <v>14</v>
      </c>
      <c r="D187" s="700" t="s">
        <v>138</v>
      </c>
      <c r="E187" s="308">
        <f t="shared" si="10"/>
        <v>0</v>
      </c>
      <c r="F187" s="229">
        <v>0</v>
      </c>
      <c r="G187" s="229">
        <v>0</v>
      </c>
      <c r="H187" s="229">
        <v>0</v>
      </c>
      <c r="I187" s="229">
        <v>0</v>
      </c>
      <c r="J187" s="230">
        <v>0</v>
      </c>
      <c r="K187" s="733"/>
      <c r="L187" s="627"/>
      <c r="M187" s="339"/>
    </row>
    <row r="188" spans="1:13" ht="13.5" customHeight="1" hidden="1">
      <c r="A188" s="698"/>
      <c r="B188" s="694"/>
      <c r="C188" s="231" t="s">
        <v>16</v>
      </c>
      <c r="D188" s="701"/>
      <c r="E188" s="309">
        <f t="shared" si="10"/>
        <v>0</v>
      </c>
      <c r="F188" s="231">
        <v>0</v>
      </c>
      <c r="G188" s="231">
        <v>0</v>
      </c>
      <c r="H188" s="231">
        <v>0</v>
      </c>
      <c r="I188" s="231">
        <v>0</v>
      </c>
      <c r="J188" s="232">
        <v>0</v>
      </c>
      <c r="K188" s="733"/>
      <c r="L188" s="627"/>
      <c r="M188" s="339"/>
    </row>
    <row r="189" spans="1:13" ht="12" customHeight="1" hidden="1">
      <c r="A189" s="699"/>
      <c r="B189" s="694"/>
      <c r="C189" s="233" t="s">
        <v>17</v>
      </c>
      <c r="D189" s="702"/>
      <c r="E189" s="311">
        <f t="shared" si="10"/>
        <v>0</v>
      </c>
      <c r="F189" s="233">
        <v>0</v>
      </c>
      <c r="G189" s="233">
        <v>0</v>
      </c>
      <c r="H189" s="233">
        <v>0</v>
      </c>
      <c r="I189" s="233">
        <v>0</v>
      </c>
      <c r="J189" s="234">
        <v>0</v>
      </c>
      <c r="K189" s="733"/>
      <c r="L189" s="627"/>
      <c r="M189" s="339"/>
    </row>
    <row r="190" spans="1:15" ht="13.5" customHeight="1" hidden="1">
      <c r="A190" s="694"/>
      <c r="B190" s="694" t="s">
        <v>107</v>
      </c>
      <c r="C190" s="229" t="s">
        <v>14</v>
      </c>
      <c r="D190" s="695" t="s">
        <v>139</v>
      </c>
      <c r="E190" s="308">
        <f t="shared" si="10"/>
        <v>0</v>
      </c>
      <c r="F190" s="229">
        <v>0</v>
      </c>
      <c r="G190" s="229">
        <v>0</v>
      </c>
      <c r="H190" s="229">
        <v>0</v>
      </c>
      <c r="I190" s="229">
        <v>0</v>
      </c>
      <c r="J190" s="230">
        <v>0</v>
      </c>
      <c r="K190" s="733"/>
      <c r="L190" s="627"/>
      <c r="M190" s="339"/>
      <c r="O190" s="49"/>
    </row>
    <row r="191" spans="1:13" ht="13.5" customHeight="1" hidden="1">
      <c r="A191" s="694"/>
      <c r="B191" s="694"/>
      <c r="C191" s="231" t="s">
        <v>16</v>
      </c>
      <c r="D191" s="695"/>
      <c r="E191" s="309">
        <f t="shared" si="10"/>
        <v>0</v>
      </c>
      <c r="F191" s="231">
        <v>0</v>
      </c>
      <c r="G191" s="231">
        <v>0</v>
      </c>
      <c r="H191" s="231">
        <v>0</v>
      </c>
      <c r="I191" s="231">
        <v>0</v>
      </c>
      <c r="J191" s="232">
        <v>0</v>
      </c>
      <c r="K191" s="733"/>
      <c r="L191" s="627"/>
      <c r="M191" s="339"/>
    </row>
    <row r="192" spans="1:13" ht="13.5" customHeight="1" hidden="1">
      <c r="A192" s="694"/>
      <c r="B192" s="694"/>
      <c r="C192" s="233" t="s">
        <v>17</v>
      </c>
      <c r="D192" s="695"/>
      <c r="E192" s="311">
        <f t="shared" si="10"/>
        <v>0</v>
      </c>
      <c r="F192" s="233">
        <v>0</v>
      </c>
      <c r="G192" s="233"/>
      <c r="H192" s="233">
        <v>0</v>
      </c>
      <c r="I192" s="233">
        <v>0</v>
      </c>
      <c r="J192" s="234">
        <v>0</v>
      </c>
      <c r="K192" s="733"/>
      <c r="L192" s="627"/>
      <c r="M192" s="339"/>
    </row>
    <row r="193" spans="1:13" ht="13.5" customHeight="1" hidden="1">
      <c r="A193" s="694"/>
      <c r="B193" s="694" t="s">
        <v>100</v>
      </c>
      <c r="C193" s="229" t="s">
        <v>14</v>
      </c>
      <c r="D193" s="696" t="s">
        <v>140</v>
      </c>
      <c r="E193" s="308">
        <f t="shared" si="10"/>
        <v>0</v>
      </c>
      <c r="F193" s="229">
        <v>0</v>
      </c>
      <c r="G193" s="229">
        <v>0</v>
      </c>
      <c r="H193" s="229">
        <v>0</v>
      </c>
      <c r="I193" s="229">
        <v>0</v>
      </c>
      <c r="J193" s="230">
        <v>0</v>
      </c>
      <c r="K193" s="733"/>
      <c r="L193" s="627"/>
      <c r="M193" s="339"/>
    </row>
    <row r="194" spans="1:13" ht="13.5" customHeight="1" hidden="1">
      <c r="A194" s="694"/>
      <c r="B194" s="694"/>
      <c r="C194" s="231" t="s">
        <v>16</v>
      </c>
      <c r="D194" s="696"/>
      <c r="E194" s="309">
        <f t="shared" si="10"/>
        <v>0</v>
      </c>
      <c r="F194" s="231">
        <v>0</v>
      </c>
      <c r="G194" s="231">
        <v>0</v>
      </c>
      <c r="H194" s="231">
        <v>0</v>
      </c>
      <c r="I194" s="231">
        <v>0</v>
      </c>
      <c r="J194" s="232">
        <v>0</v>
      </c>
      <c r="K194" s="733"/>
      <c r="L194" s="627"/>
      <c r="M194" s="339"/>
    </row>
    <row r="195" spans="1:13" ht="13.5" customHeight="1" hidden="1">
      <c r="A195" s="694"/>
      <c r="B195" s="694"/>
      <c r="C195" s="233" t="s">
        <v>17</v>
      </c>
      <c r="D195" s="696"/>
      <c r="E195" s="311">
        <f t="shared" si="10"/>
        <v>0</v>
      </c>
      <c r="F195" s="233">
        <v>0</v>
      </c>
      <c r="G195" s="233">
        <v>0</v>
      </c>
      <c r="H195" s="233">
        <v>0</v>
      </c>
      <c r="I195" s="233">
        <v>0</v>
      </c>
      <c r="J195" s="234">
        <v>0</v>
      </c>
      <c r="K195" s="733"/>
      <c r="L195" s="627"/>
      <c r="M195" s="339"/>
    </row>
    <row r="196" spans="1:13" ht="13.5" customHeight="1" thickBot="1">
      <c r="A196" s="674" t="s">
        <v>178</v>
      </c>
      <c r="B196" s="680" t="s">
        <v>132</v>
      </c>
      <c r="C196" s="203" t="s">
        <v>14</v>
      </c>
      <c r="D196" s="692">
        <f>D199+D202+D205</f>
        <v>5805100</v>
      </c>
      <c r="E196" s="305">
        <f t="shared" si="10"/>
        <v>0</v>
      </c>
      <c r="F196" s="203">
        <f aca="true" t="shared" si="13" ref="F196:J198">F199+F202+F205</f>
        <v>0</v>
      </c>
      <c r="G196" s="203">
        <f t="shared" si="13"/>
        <v>0</v>
      </c>
      <c r="H196" s="203">
        <f t="shared" si="13"/>
        <v>0</v>
      </c>
      <c r="I196" s="203">
        <f t="shared" si="13"/>
        <v>0</v>
      </c>
      <c r="J196" s="204">
        <f t="shared" si="13"/>
        <v>0</v>
      </c>
      <c r="K196" s="733"/>
      <c r="L196" s="627"/>
      <c r="M196" s="339"/>
    </row>
    <row r="197" spans="1:13" ht="13.5" thickBot="1">
      <c r="A197" s="675"/>
      <c r="B197" s="680"/>
      <c r="C197" s="205" t="s">
        <v>16</v>
      </c>
      <c r="D197" s="692"/>
      <c r="E197" s="306">
        <f t="shared" si="10"/>
        <v>0</v>
      </c>
      <c r="F197" s="205">
        <f t="shared" si="13"/>
        <v>0</v>
      </c>
      <c r="G197" s="205">
        <f t="shared" si="13"/>
        <v>0</v>
      </c>
      <c r="H197" s="205">
        <f t="shared" si="13"/>
        <v>0</v>
      </c>
      <c r="I197" s="205">
        <f t="shared" si="13"/>
        <v>0</v>
      </c>
      <c r="J197" s="206">
        <f t="shared" si="13"/>
        <v>0</v>
      </c>
      <c r="K197" s="733"/>
      <c r="L197" s="627"/>
      <c r="M197" s="339"/>
    </row>
    <row r="198" spans="1:13" ht="19.5" customHeight="1" thickBot="1">
      <c r="A198" s="676"/>
      <c r="B198" s="680"/>
      <c r="C198" s="207" t="s">
        <v>17</v>
      </c>
      <c r="D198" s="692"/>
      <c r="E198" s="307">
        <f t="shared" si="10"/>
        <v>0</v>
      </c>
      <c r="F198" s="207">
        <f t="shared" si="13"/>
        <v>0</v>
      </c>
      <c r="G198" s="207">
        <f t="shared" si="13"/>
        <v>0</v>
      </c>
      <c r="H198" s="207">
        <f t="shared" si="13"/>
        <v>0</v>
      </c>
      <c r="I198" s="207">
        <f t="shared" si="13"/>
        <v>0</v>
      </c>
      <c r="J198" s="208">
        <f t="shared" si="13"/>
        <v>0</v>
      </c>
      <c r="K198" s="733"/>
      <c r="L198" s="627"/>
      <c r="M198" s="339"/>
    </row>
    <row r="199" spans="1:13" ht="16.5" customHeight="1" hidden="1">
      <c r="A199" s="694"/>
      <c r="B199" s="694" t="s">
        <v>106</v>
      </c>
      <c r="C199" s="229" t="s">
        <v>14</v>
      </c>
      <c r="D199" s="695" t="s">
        <v>141</v>
      </c>
      <c r="E199" s="308">
        <f t="shared" si="10"/>
        <v>0</v>
      </c>
      <c r="F199" s="229">
        <v>0</v>
      </c>
      <c r="G199" s="229">
        <v>0</v>
      </c>
      <c r="H199" s="229">
        <v>0</v>
      </c>
      <c r="I199" s="229">
        <v>0</v>
      </c>
      <c r="J199" s="230">
        <v>0</v>
      </c>
      <c r="K199" s="733"/>
      <c r="L199" s="627"/>
      <c r="M199" s="339"/>
    </row>
    <row r="200" spans="1:13" ht="13.5" customHeight="1" hidden="1">
      <c r="A200" s="694"/>
      <c r="B200" s="694"/>
      <c r="C200" s="231" t="s">
        <v>16</v>
      </c>
      <c r="D200" s="695"/>
      <c r="E200" s="309">
        <f t="shared" si="10"/>
        <v>0</v>
      </c>
      <c r="F200" s="231">
        <v>0</v>
      </c>
      <c r="G200" s="231">
        <v>0</v>
      </c>
      <c r="H200" s="231">
        <v>0</v>
      </c>
      <c r="I200" s="231">
        <v>0</v>
      </c>
      <c r="J200" s="232">
        <v>0</v>
      </c>
      <c r="K200" s="733"/>
      <c r="L200" s="627"/>
      <c r="M200" s="339"/>
    </row>
    <row r="201" spans="1:13" ht="13.5" customHeight="1" hidden="1">
      <c r="A201" s="694"/>
      <c r="B201" s="694"/>
      <c r="C201" s="233" t="s">
        <v>17</v>
      </c>
      <c r="D201" s="695"/>
      <c r="E201" s="311">
        <f t="shared" si="10"/>
        <v>0</v>
      </c>
      <c r="F201" s="233">
        <v>0</v>
      </c>
      <c r="G201" s="233">
        <v>0</v>
      </c>
      <c r="H201" s="233">
        <v>0</v>
      </c>
      <c r="I201" s="233">
        <v>0</v>
      </c>
      <c r="J201" s="234">
        <v>0</v>
      </c>
      <c r="K201" s="733"/>
      <c r="L201" s="627"/>
      <c r="M201" s="339"/>
    </row>
    <row r="202" spans="1:15" ht="14.25" customHeight="1" hidden="1">
      <c r="A202" s="694"/>
      <c r="B202" s="694" t="s">
        <v>107</v>
      </c>
      <c r="C202" s="229" t="s">
        <v>14</v>
      </c>
      <c r="D202" s="695" t="s">
        <v>146</v>
      </c>
      <c r="E202" s="308">
        <f t="shared" si="10"/>
        <v>0</v>
      </c>
      <c r="F202" s="229">
        <v>0</v>
      </c>
      <c r="G202" s="229">
        <v>0</v>
      </c>
      <c r="H202" s="229">
        <v>0</v>
      </c>
      <c r="I202" s="229">
        <v>0</v>
      </c>
      <c r="J202" s="230">
        <v>0</v>
      </c>
      <c r="K202" s="733"/>
      <c r="L202" s="627"/>
      <c r="M202" s="339"/>
      <c r="O202" s="49"/>
    </row>
    <row r="203" spans="1:15" ht="11.25" customHeight="1" hidden="1">
      <c r="A203" s="694"/>
      <c r="B203" s="694"/>
      <c r="C203" s="231" t="s">
        <v>16</v>
      </c>
      <c r="D203" s="695"/>
      <c r="E203" s="309">
        <f t="shared" si="10"/>
        <v>0</v>
      </c>
      <c r="F203" s="231">
        <v>0</v>
      </c>
      <c r="G203" s="231">
        <v>0</v>
      </c>
      <c r="H203" s="231">
        <v>0</v>
      </c>
      <c r="I203" s="231">
        <v>0</v>
      </c>
      <c r="J203" s="232">
        <v>0</v>
      </c>
      <c r="K203" s="733"/>
      <c r="L203" s="627"/>
      <c r="M203" s="339"/>
      <c r="O203" s="49"/>
    </row>
    <row r="204" spans="1:15" ht="15" customHeight="1" hidden="1">
      <c r="A204" s="694"/>
      <c r="B204" s="694"/>
      <c r="C204" s="233" t="s">
        <v>17</v>
      </c>
      <c r="D204" s="695"/>
      <c r="E204" s="311">
        <f t="shared" si="10"/>
        <v>0</v>
      </c>
      <c r="F204" s="233">
        <v>0</v>
      </c>
      <c r="G204" s="233">
        <v>0</v>
      </c>
      <c r="H204" s="233">
        <v>0</v>
      </c>
      <c r="I204" s="233">
        <v>0</v>
      </c>
      <c r="J204" s="234">
        <v>0</v>
      </c>
      <c r="K204" s="733"/>
      <c r="L204" s="627"/>
      <c r="M204" s="339"/>
      <c r="O204" s="49"/>
    </row>
    <row r="205" spans="1:15" ht="13.5" customHeight="1" hidden="1">
      <c r="A205" s="694"/>
      <c r="B205" s="694" t="s">
        <v>100</v>
      </c>
      <c r="C205" s="229" t="s">
        <v>14</v>
      </c>
      <c r="D205" s="695" t="s">
        <v>147</v>
      </c>
      <c r="E205" s="308">
        <f t="shared" si="10"/>
        <v>0</v>
      </c>
      <c r="F205" s="212">
        <v>0</v>
      </c>
      <c r="G205" s="212">
        <v>0</v>
      </c>
      <c r="H205" s="212">
        <v>0</v>
      </c>
      <c r="I205" s="212">
        <v>0</v>
      </c>
      <c r="J205" s="230">
        <v>0</v>
      </c>
      <c r="K205" s="733"/>
      <c r="L205" s="627"/>
      <c r="M205" s="339"/>
      <c r="O205" s="49"/>
    </row>
    <row r="206" spans="1:15" ht="13.5" customHeight="1" hidden="1">
      <c r="A206" s="694"/>
      <c r="B206" s="694"/>
      <c r="C206" s="231" t="s">
        <v>16</v>
      </c>
      <c r="D206" s="695"/>
      <c r="E206" s="309">
        <f t="shared" si="10"/>
        <v>0</v>
      </c>
      <c r="F206" s="213">
        <v>0</v>
      </c>
      <c r="G206" s="213">
        <v>0</v>
      </c>
      <c r="H206" s="213">
        <v>0</v>
      </c>
      <c r="I206" s="213">
        <v>0</v>
      </c>
      <c r="J206" s="232">
        <v>0</v>
      </c>
      <c r="K206" s="733"/>
      <c r="L206" s="627"/>
      <c r="M206" s="339"/>
      <c r="O206" s="49"/>
    </row>
    <row r="207" spans="1:15" ht="13.5" customHeight="1" hidden="1">
      <c r="A207" s="694"/>
      <c r="B207" s="694"/>
      <c r="C207" s="233" t="s">
        <v>17</v>
      </c>
      <c r="D207" s="695"/>
      <c r="E207" s="311">
        <f t="shared" si="10"/>
        <v>0</v>
      </c>
      <c r="F207" s="214">
        <v>0</v>
      </c>
      <c r="G207" s="214">
        <v>0</v>
      </c>
      <c r="H207" s="214">
        <v>0</v>
      </c>
      <c r="I207" s="214">
        <v>0</v>
      </c>
      <c r="J207" s="234">
        <v>0</v>
      </c>
      <c r="K207" s="733"/>
      <c r="L207" s="627"/>
      <c r="M207" s="339"/>
      <c r="O207" s="49"/>
    </row>
    <row r="208" spans="1:15" ht="13.5" customHeight="1" thickBot="1">
      <c r="A208" s="674" t="s">
        <v>179</v>
      </c>
      <c r="B208" s="680" t="s">
        <v>133</v>
      </c>
      <c r="C208" s="203" t="s">
        <v>14</v>
      </c>
      <c r="D208" s="692">
        <f>D211+D214+D217</f>
        <v>4784000</v>
      </c>
      <c r="E208" s="305">
        <f t="shared" si="10"/>
        <v>0</v>
      </c>
      <c r="F208" s="203">
        <f aca="true" t="shared" si="14" ref="F208:J210">F211+F214+F217</f>
        <v>0</v>
      </c>
      <c r="G208" s="203">
        <f t="shared" si="14"/>
        <v>0</v>
      </c>
      <c r="H208" s="203">
        <f t="shared" si="14"/>
        <v>0</v>
      </c>
      <c r="I208" s="203">
        <f t="shared" si="14"/>
        <v>0</v>
      </c>
      <c r="J208" s="204">
        <f t="shared" si="14"/>
        <v>0</v>
      </c>
      <c r="K208" s="733"/>
      <c r="L208" s="627"/>
      <c r="M208" s="339"/>
      <c r="O208" s="49"/>
    </row>
    <row r="209" spans="1:15" ht="13.5" thickBot="1">
      <c r="A209" s="675"/>
      <c r="B209" s="680"/>
      <c r="C209" s="205" t="s">
        <v>16</v>
      </c>
      <c r="D209" s="692"/>
      <c r="E209" s="306">
        <f t="shared" si="10"/>
        <v>0</v>
      </c>
      <c r="F209" s="205">
        <f t="shared" si="14"/>
        <v>0</v>
      </c>
      <c r="G209" s="205">
        <f t="shared" si="14"/>
        <v>0</v>
      </c>
      <c r="H209" s="205">
        <f t="shared" si="14"/>
        <v>0</v>
      </c>
      <c r="I209" s="205">
        <f t="shared" si="14"/>
        <v>0</v>
      </c>
      <c r="J209" s="206">
        <f t="shared" si="14"/>
        <v>0</v>
      </c>
      <c r="K209" s="733"/>
      <c r="L209" s="627"/>
      <c r="M209" s="339"/>
      <c r="O209" s="49"/>
    </row>
    <row r="210" spans="1:15" ht="11.25" customHeight="1" thickBot="1">
      <c r="A210" s="676"/>
      <c r="B210" s="680"/>
      <c r="C210" s="207" t="s">
        <v>17</v>
      </c>
      <c r="D210" s="692"/>
      <c r="E210" s="307">
        <f t="shared" si="10"/>
        <v>0</v>
      </c>
      <c r="F210" s="207">
        <f t="shared" si="14"/>
        <v>0</v>
      </c>
      <c r="G210" s="207">
        <f t="shared" si="14"/>
        <v>0</v>
      </c>
      <c r="H210" s="207">
        <f t="shared" si="14"/>
        <v>0</v>
      </c>
      <c r="I210" s="207">
        <f t="shared" si="14"/>
        <v>0</v>
      </c>
      <c r="J210" s="208">
        <f t="shared" si="14"/>
        <v>0</v>
      </c>
      <c r="K210" s="733"/>
      <c r="L210" s="627"/>
      <c r="M210" s="339"/>
      <c r="O210" s="49"/>
    </row>
    <row r="211" spans="1:15" ht="13.5" customHeight="1" hidden="1">
      <c r="A211" s="694"/>
      <c r="B211" s="694" t="s">
        <v>108</v>
      </c>
      <c r="C211" s="229" t="s">
        <v>14</v>
      </c>
      <c r="D211" s="695" t="s">
        <v>148</v>
      </c>
      <c r="E211" s="308">
        <f t="shared" si="10"/>
        <v>0</v>
      </c>
      <c r="F211" s="229">
        <v>0</v>
      </c>
      <c r="G211" s="229">
        <v>0</v>
      </c>
      <c r="H211" s="229">
        <v>0</v>
      </c>
      <c r="I211" s="229">
        <v>0</v>
      </c>
      <c r="J211" s="230">
        <v>0</v>
      </c>
      <c r="K211" s="733"/>
      <c r="L211" s="627"/>
      <c r="M211" s="339"/>
      <c r="O211" s="49"/>
    </row>
    <row r="212" spans="1:16" ht="13.5" customHeight="1" hidden="1">
      <c r="A212" s="694"/>
      <c r="B212" s="694"/>
      <c r="C212" s="231" t="s">
        <v>16</v>
      </c>
      <c r="D212" s="695"/>
      <c r="E212" s="309">
        <f t="shared" si="10"/>
        <v>0</v>
      </c>
      <c r="F212" s="231">
        <v>0</v>
      </c>
      <c r="G212" s="231">
        <v>0</v>
      </c>
      <c r="H212" s="231">
        <v>0</v>
      </c>
      <c r="I212" s="231">
        <v>0</v>
      </c>
      <c r="J212" s="232">
        <v>0</v>
      </c>
      <c r="K212" s="733"/>
      <c r="L212" s="627"/>
      <c r="M212" s="339"/>
      <c r="O212" s="49"/>
      <c r="P212" s="49"/>
    </row>
    <row r="213" spans="1:15" ht="13.5" customHeight="1" hidden="1">
      <c r="A213" s="694"/>
      <c r="B213" s="694"/>
      <c r="C213" s="233" t="s">
        <v>17</v>
      </c>
      <c r="D213" s="695"/>
      <c r="E213" s="311">
        <f t="shared" si="10"/>
        <v>0</v>
      </c>
      <c r="F213" s="233">
        <v>0</v>
      </c>
      <c r="G213" s="233">
        <v>0</v>
      </c>
      <c r="H213" s="233"/>
      <c r="I213" s="233">
        <v>0</v>
      </c>
      <c r="J213" s="234">
        <v>0</v>
      </c>
      <c r="K213" s="733"/>
      <c r="L213" s="627"/>
      <c r="M213" s="339"/>
      <c r="O213" s="49"/>
    </row>
    <row r="214" spans="1:15" ht="13.5" customHeight="1" hidden="1">
      <c r="A214" s="694"/>
      <c r="B214" s="694" t="s">
        <v>107</v>
      </c>
      <c r="C214" s="229" t="s">
        <v>14</v>
      </c>
      <c r="D214" s="695" t="s">
        <v>149</v>
      </c>
      <c r="E214" s="308">
        <f t="shared" si="10"/>
        <v>0</v>
      </c>
      <c r="F214" s="229">
        <v>0</v>
      </c>
      <c r="G214" s="229">
        <v>0</v>
      </c>
      <c r="H214" s="229">
        <v>0</v>
      </c>
      <c r="I214" s="229">
        <v>0</v>
      </c>
      <c r="J214" s="230">
        <v>0</v>
      </c>
      <c r="K214" s="733"/>
      <c r="L214" s="627"/>
      <c r="M214" s="339"/>
      <c r="O214" s="49"/>
    </row>
    <row r="215" spans="1:15" ht="13.5" customHeight="1" hidden="1">
      <c r="A215" s="694"/>
      <c r="B215" s="694"/>
      <c r="C215" s="231" t="s">
        <v>16</v>
      </c>
      <c r="D215" s="695"/>
      <c r="E215" s="309">
        <f t="shared" si="10"/>
        <v>0</v>
      </c>
      <c r="F215" s="231">
        <v>0</v>
      </c>
      <c r="G215" s="231">
        <v>0</v>
      </c>
      <c r="H215" s="231">
        <v>0</v>
      </c>
      <c r="I215" s="231">
        <v>0</v>
      </c>
      <c r="J215" s="232">
        <v>0</v>
      </c>
      <c r="K215" s="733"/>
      <c r="L215" s="627"/>
      <c r="M215" s="339"/>
      <c r="O215" s="49"/>
    </row>
    <row r="216" spans="1:15" ht="13.5" customHeight="1" hidden="1">
      <c r="A216" s="694"/>
      <c r="B216" s="694"/>
      <c r="C216" s="233" t="s">
        <v>17</v>
      </c>
      <c r="D216" s="695"/>
      <c r="E216" s="311">
        <f t="shared" si="10"/>
        <v>0</v>
      </c>
      <c r="F216" s="233">
        <v>0</v>
      </c>
      <c r="G216" s="233">
        <v>0</v>
      </c>
      <c r="H216" s="233">
        <v>0</v>
      </c>
      <c r="I216" s="233">
        <v>0</v>
      </c>
      <c r="J216" s="234">
        <v>0</v>
      </c>
      <c r="K216" s="733"/>
      <c r="L216" s="627"/>
      <c r="M216" s="339"/>
      <c r="O216" s="49"/>
    </row>
    <row r="217" spans="1:13" ht="13.5" customHeight="1" hidden="1">
      <c r="A217" s="694"/>
      <c r="B217" s="694" t="s">
        <v>100</v>
      </c>
      <c r="C217" s="229" t="s">
        <v>14</v>
      </c>
      <c r="D217" s="695" t="s">
        <v>150</v>
      </c>
      <c r="E217" s="308">
        <f t="shared" si="10"/>
        <v>0</v>
      </c>
      <c r="F217" s="229">
        <v>0</v>
      </c>
      <c r="G217" s="212">
        <v>0</v>
      </c>
      <c r="H217" s="212">
        <v>0</v>
      </c>
      <c r="I217" s="229">
        <v>0</v>
      </c>
      <c r="J217" s="230">
        <v>0</v>
      </c>
      <c r="K217" s="733"/>
      <c r="L217" s="627"/>
      <c r="M217" s="339"/>
    </row>
    <row r="218" spans="1:13" ht="13.5" customHeight="1" hidden="1">
      <c r="A218" s="694"/>
      <c r="B218" s="694"/>
      <c r="C218" s="231" t="s">
        <v>16</v>
      </c>
      <c r="D218" s="695"/>
      <c r="E218" s="309">
        <f t="shared" si="10"/>
        <v>0</v>
      </c>
      <c r="F218" s="231">
        <v>0</v>
      </c>
      <c r="G218" s="213">
        <v>0</v>
      </c>
      <c r="H218" s="213">
        <v>0</v>
      </c>
      <c r="I218" s="231">
        <v>0</v>
      </c>
      <c r="J218" s="232">
        <v>0</v>
      </c>
      <c r="K218" s="733"/>
      <c r="L218" s="627"/>
      <c r="M218" s="339"/>
    </row>
    <row r="219" spans="1:13" ht="13.5" customHeight="1" hidden="1">
      <c r="A219" s="694"/>
      <c r="B219" s="694"/>
      <c r="C219" s="233" t="s">
        <v>17</v>
      </c>
      <c r="D219" s="695"/>
      <c r="E219" s="311">
        <f t="shared" si="10"/>
        <v>0</v>
      </c>
      <c r="F219" s="233">
        <v>0</v>
      </c>
      <c r="G219" s="214">
        <v>0</v>
      </c>
      <c r="H219" s="214">
        <v>0</v>
      </c>
      <c r="I219" s="233">
        <v>0</v>
      </c>
      <c r="J219" s="222">
        <v>0</v>
      </c>
      <c r="K219" s="733"/>
      <c r="L219" s="627"/>
      <c r="M219" s="339"/>
    </row>
    <row r="220" spans="1:13" ht="13.5" customHeight="1" thickBot="1">
      <c r="A220" s="669" t="s">
        <v>180</v>
      </c>
      <c r="B220" s="680" t="s">
        <v>134</v>
      </c>
      <c r="C220" s="203" t="s">
        <v>14</v>
      </c>
      <c r="D220" s="692">
        <f>D223+D226+D229</f>
        <v>4046000</v>
      </c>
      <c r="E220" s="305">
        <f t="shared" si="10"/>
        <v>0</v>
      </c>
      <c r="F220" s="203">
        <f aca="true" t="shared" si="15" ref="F220:J222">F223+F226+F229</f>
        <v>0</v>
      </c>
      <c r="G220" s="203">
        <f t="shared" si="15"/>
        <v>0</v>
      </c>
      <c r="H220" s="203">
        <f t="shared" si="15"/>
        <v>0</v>
      </c>
      <c r="I220" s="203">
        <f t="shared" si="15"/>
        <v>0</v>
      </c>
      <c r="J220" s="204">
        <f t="shared" si="15"/>
        <v>0</v>
      </c>
      <c r="K220" s="733"/>
      <c r="L220" s="627"/>
      <c r="M220" s="339"/>
    </row>
    <row r="221" spans="1:13" ht="13.5" thickBot="1">
      <c r="A221" s="669"/>
      <c r="B221" s="680"/>
      <c r="C221" s="205" t="s">
        <v>16</v>
      </c>
      <c r="D221" s="692"/>
      <c r="E221" s="306">
        <f t="shared" si="10"/>
        <v>0</v>
      </c>
      <c r="F221" s="205">
        <f t="shared" si="15"/>
        <v>0</v>
      </c>
      <c r="G221" s="205">
        <f t="shared" si="15"/>
        <v>0</v>
      </c>
      <c r="H221" s="205">
        <f t="shared" si="15"/>
        <v>0</v>
      </c>
      <c r="I221" s="205">
        <f t="shared" si="15"/>
        <v>0</v>
      </c>
      <c r="J221" s="206">
        <f t="shared" si="15"/>
        <v>0</v>
      </c>
      <c r="K221" s="733"/>
      <c r="L221" s="627"/>
      <c r="M221" s="339"/>
    </row>
    <row r="222" spans="1:13" ht="11.25" customHeight="1" thickBot="1">
      <c r="A222" s="669"/>
      <c r="B222" s="680"/>
      <c r="C222" s="207" t="s">
        <v>17</v>
      </c>
      <c r="D222" s="692"/>
      <c r="E222" s="307">
        <f t="shared" si="10"/>
        <v>0</v>
      </c>
      <c r="F222" s="207">
        <f t="shared" si="15"/>
        <v>0</v>
      </c>
      <c r="G222" s="207">
        <f t="shared" si="15"/>
        <v>0</v>
      </c>
      <c r="H222" s="207">
        <f t="shared" si="15"/>
        <v>0</v>
      </c>
      <c r="I222" s="207">
        <f t="shared" si="15"/>
        <v>0</v>
      </c>
      <c r="J222" s="208">
        <f t="shared" si="15"/>
        <v>0</v>
      </c>
      <c r="K222" s="733"/>
      <c r="L222" s="627"/>
      <c r="M222" s="339"/>
    </row>
    <row r="223" spans="1:13" ht="13.5" customHeight="1" hidden="1">
      <c r="A223" s="693"/>
      <c r="B223" s="694" t="s">
        <v>104</v>
      </c>
      <c r="C223" s="229" t="s">
        <v>14</v>
      </c>
      <c r="D223" s="695" t="s">
        <v>151</v>
      </c>
      <c r="E223" s="308">
        <f t="shared" si="10"/>
        <v>0</v>
      </c>
      <c r="F223" s="229">
        <v>0</v>
      </c>
      <c r="G223" s="229">
        <v>0</v>
      </c>
      <c r="H223" s="229">
        <v>0</v>
      </c>
      <c r="I223" s="229">
        <v>0</v>
      </c>
      <c r="J223" s="230">
        <v>0</v>
      </c>
      <c r="K223" s="733"/>
      <c r="L223" s="627"/>
      <c r="M223" s="339"/>
    </row>
    <row r="224" spans="1:13" ht="13.5" customHeight="1" hidden="1">
      <c r="A224" s="693"/>
      <c r="B224" s="694"/>
      <c r="C224" s="231" t="s">
        <v>16</v>
      </c>
      <c r="D224" s="695"/>
      <c r="E224" s="309">
        <f aca="true" t="shared" si="16" ref="E224:E247">SUM(F224:J224)</f>
        <v>0</v>
      </c>
      <c r="F224" s="231">
        <v>0</v>
      </c>
      <c r="G224" s="231">
        <v>0</v>
      </c>
      <c r="H224" s="231">
        <v>0</v>
      </c>
      <c r="I224" s="231">
        <v>0</v>
      </c>
      <c r="J224" s="232">
        <v>0</v>
      </c>
      <c r="K224" s="733"/>
      <c r="L224" s="627"/>
      <c r="M224" s="339"/>
    </row>
    <row r="225" spans="1:13" ht="13.5" customHeight="1" hidden="1">
      <c r="A225" s="693"/>
      <c r="B225" s="694"/>
      <c r="C225" s="233" t="s">
        <v>17</v>
      </c>
      <c r="D225" s="695"/>
      <c r="E225" s="311">
        <f t="shared" si="16"/>
        <v>0</v>
      </c>
      <c r="F225" s="233">
        <v>0</v>
      </c>
      <c r="G225" s="233">
        <v>0</v>
      </c>
      <c r="H225" s="233">
        <v>0</v>
      </c>
      <c r="I225" s="233">
        <v>0</v>
      </c>
      <c r="J225" s="234">
        <v>0</v>
      </c>
      <c r="K225" s="733"/>
      <c r="L225" s="627"/>
      <c r="M225" s="339"/>
    </row>
    <row r="226" spans="1:14" ht="13.5" customHeight="1" hidden="1">
      <c r="A226" s="693"/>
      <c r="B226" s="694" t="s">
        <v>105</v>
      </c>
      <c r="C226" s="229" t="s">
        <v>14</v>
      </c>
      <c r="D226" s="695" t="s">
        <v>152</v>
      </c>
      <c r="E226" s="308">
        <f t="shared" si="16"/>
        <v>0</v>
      </c>
      <c r="F226" s="229">
        <v>0</v>
      </c>
      <c r="G226" s="229">
        <v>0</v>
      </c>
      <c r="H226" s="229">
        <v>0</v>
      </c>
      <c r="I226" s="229">
        <v>0</v>
      </c>
      <c r="J226" s="230">
        <v>0</v>
      </c>
      <c r="K226" s="733"/>
      <c r="L226" s="627"/>
      <c r="M226" s="339"/>
      <c r="N226" s="49"/>
    </row>
    <row r="227" spans="1:13" ht="13.5" customHeight="1" hidden="1">
      <c r="A227" s="693"/>
      <c r="B227" s="694"/>
      <c r="C227" s="231" t="s">
        <v>16</v>
      </c>
      <c r="D227" s="695"/>
      <c r="E227" s="309">
        <f t="shared" si="16"/>
        <v>0</v>
      </c>
      <c r="F227" s="231">
        <v>0</v>
      </c>
      <c r="G227" s="231">
        <v>0</v>
      </c>
      <c r="H227" s="231">
        <v>0</v>
      </c>
      <c r="I227" s="231">
        <v>0</v>
      </c>
      <c r="J227" s="232">
        <v>0</v>
      </c>
      <c r="K227" s="733"/>
      <c r="L227" s="627"/>
      <c r="M227" s="339"/>
    </row>
    <row r="228" spans="1:13" ht="13.5" customHeight="1" hidden="1">
      <c r="A228" s="693"/>
      <c r="B228" s="694"/>
      <c r="C228" s="233" t="s">
        <v>17</v>
      </c>
      <c r="D228" s="695"/>
      <c r="E228" s="311">
        <f t="shared" si="16"/>
        <v>0</v>
      </c>
      <c r="F228" s="233">
        <v>0</v>
      </c>
      <c r="G228" s="233">
        <v>0</v>
      </c>
      <c r="H228" s="233">
        <v>0</v>
      </c>
      <c r="I228" s="233">
        <v>0</v>
      </c>
      <c r="J228" s="234">
        <v>0</v>
      </c>
      <c r="K228" s="733"/>
      <c r="L228" s="627"/>
      <c r="M228" s="339"/>
    </row>
    <row r="229" spans="1:13" ht="13.5" customHeight="1" hidden="1">
      <c r="A229" s="693"/>
      <c r="B229" s="694" t="s">
        <v>100</v>
      </c>
      <c r="C229" s="229" t="s">
        <v>14</v>
      </c>
      <c r="D229" s="695" t="s">
        <v>153</v>
      </c>
      <c r="E229" s="308">
        <f t="shared" si="16"/>
        <v>0</v>
      </c>
      <c r="F229" s="229">
        <v>0</v>
      </c>
      <c r="G229" s="212">
        <v>0</v>
      </c>
      <c r="H229" s="212">
        <v>0</v>
      </c>
      <c r="I229" s="229">
        <v>0</v>
      </c>
      <c r="J229" s="230">
        <v>0</v>
      </c>
      <c r="K229" s="733"/>
      <c r="L229" s="627"/>
      <c r="M229" s="339"/>
    </row>
    <row r="230" spans="1:13" ht="13.5" customHeight="1" hidden="1">
      <c r="A230" s="693"/>
      <c r="B230" s="694"/>
      <c r="C230" s="231" t="s">
        <v>16</v>
      </c>
      <c r="D230" s="695"/>
      <c r="E230" s="309">
        <f t="shared" si="16"/>
        <v>0</v>
      </c>
      <c r="F230" s="231">
        <v>0</v>
      </c>
      <c r="G230" s="213">
        <v>0</v>
      </c>
      <c r="H230" s="213">
        <v>0</v>
      </c>
      <c r="I230" s="231">
        <v>0</v>
      </c>
      <c r="J230" s="232">
        <v>0</v>
      </c>
      <c r="K230" s="733"/>
      <c r="L230" s="627"/>
      <c r="M230" s="339"/>
    </row>
    <row r="231" spans="1:13" ht="12" customHeight="1" hidden="1">
      <c r="A231" s="693"/>
      <c r="B231" s="694"/>
      <c r="C231" s="233" t="s">
        <v>17</v>
      </c>
      <c r="D231" s="695"/>
      <c r="E231" s="311">
        <f t="shared" si="16"/>
        <v>0</v>
      </c>
      <c r="F231" s="233">
        <v>0</v>
      </c>
      <c r="G231" s="214">
        <v>0</v>
      </c>
      <c r="H231" s="214">
        <v>0</v>
      </c>
      <c r="I231" s="233">
        <v>0</v>
      </c>
      <c r="J231" s="234">
        <v>0</v>
      </c>
      <c r="K231" s="733"/>
      <c r="L231" s="627"/>
      <c r="M231" s="339"/>
    </row>
    <row r="232" spans="1:13" ht="13.5" customHeight="1" thickBot="1">
      <c r="A232" s="669" t="s">
        <v>181</v>
      </c>
      <c r="B232" s="680" t="s">
        <v>135</v>
      </c>
      <c r="C232" s="203" t="s">
        <v>14</v>
      </c>
      <c r="D232" s="692">
        <f>D235+D238</f>
        <v>2265000</v>
      </c>
      <c r="E232" s="305">
        <f t="shared" si="16"/>
        <v>0</v>
      </c>
      <c r="F232" s="203">
        <f>F235+F238</f>
        <v>0</v>
      </c>
      <c r="G232" s="203">
        <f>G235+G238</f>
        <v>0</v>
      </c>
      <c r="H232" s="203">
        <f>H235+H238</f>
        <v>0</v>
      </c>
      <c r="I232" s="203">
        <f>I235+I238</f>
        <v>0</v>
      </c>
      <c r="J232" s="204">
        <f>J235+J238</f>
        <v>0</v>
      </c>
      <c r="K232" s="733"/>
      <c r="L232" s="627"/>
      <c r="M232" s="339"/>
    </row>
    <row r="233" spans="1:13" ht="13.5" thickBot="1">
      <c r="A233" s="669"/>
      <c r="B233" s="680"/>
      <c r="C233" s="205" t="s">
        <v>16</v>
      </c>
      <c r="D233" s="692"/>
      <c r="E233" s="306">
        <f t="shared" si="16"/>
        <v>0</v>
      </c>
      <c r="F233" s="205">
        <f aca="true" t="shared" si="17" ref="F233:J234">F236+F239</f>
        <v>0</v>
      </c>
      <c r="G233" s="205">
        <f t="shared" si="17"/>
        <v>0</v>
      </c>
      <c r="H233" s="205">
        <f t="shared" si="17"/>
        <v>0</v>
      </c>
      <c r="I233" s="205">
        <f t="shared" si="17"/>
        <v>0</v>
      </c>
      <c r="J233" s="206">
        <f t="shared" si="17"/>
        <v>0</v>
      </c>
      <c r="K233" s="733"/>
      <c r="L233" s="627"/>
      <c r="M233" s="339"/>
    </row>
    <row r="234" spans="1:13" ht="15" customHeight="1" thickBot="1">
      <c r="A234" s="669"/>
      <c r="B234" s="680"/>
      <c r="C234" s="207" t="s">
        <v>17</v>
      </c>
      <c r="D234" s="692"/>
      <c r="E234" s="307">
        <f t="shared" si="16"/>
        <v>0</v>
      </c>
      <c r="F234" s="207">
        <f t="shared" si="17"/>
        <v>0</v>
      </c>
      <c r="G234" s="207">
        <f t="shared" si="17"/>
        <v>0</v>
      </c>
      <c r="H234" s="207">
        <f t="shared" si="17"/>
        <v>0</v>
      </c>
      <c r="I234" s="207">
        <f t="shared" si="17"/>
        <v>0</v>
      </c>
      <c r="J234" s="208">
        <f t="shared" si="17"/>
        <v>0</v>
      </c>
      <c r="K234" s="734"/>
      <c r="L234" s="627"/>
      <c r="M234" s="339"/>
    </row>
    <row r="235" spans="1:13" ht="15.75" customHeight="1" hidden="1">
      <c r="A235" s="690"/>
      <c r="B235" s="690" t="s">
        <v>104</v>
      </c>
      <c r="C235" s="182" t="s">
        <v>14</v>
      </c>
      <c r="D235" s="691">
        <v>954000</v>
      </c>
      <c r="E235" s="312">
        <f t="shared" si="16"/>
        <v>0</v>
      </c>
      <c r="F235" s="182">
        <v>0</v>
      </c>
      <c r="G235" s="182">
        <v>0</v>
      </c>
      <c r="H235" s="182">
        <v>0</v>
      </c>
      <c r="I235" s="182">
        <v>0</v>
      </c>
      <c r="J235" s="183">
        <v>0</v>
      </c>
      <c r="K235" s="188"/>
      <c r="L235" s="627"/>
      <c r="M235" s="339"/>
    </row>
    <row r="236" spans="1:13" ht="13.5" hidden="1" thickBot="1">
      <c r="A236" s="690"/>
      <c r="B236" s="690"/>
      <c r="C236" s="184" t="s">
        <v>16</v>
      </c>
      <c r="D236" s="691"/>
      <c r="E236" s="313">
        <f t="shared" si="16"/>
        <v>0</v>
      </c>
      <c r="F236" s="184">
        <v>0</v>
      </c>
      <c r="G236" s="184">
        <v>0</v>
      </c>
      <c r="H236" s="184">
        <v>0</v>
      </c>
      <c r="I236" s="184">
        <v>0</v>
      </c>
      <c r="J236" s="185">
        <v>0</v>
      </c>
      <c r="K236" s="189"/>
      <c r="L236" s="627"/>
      <c r="M236" s="339"/>
    </row>
    <row r="237" spans="1:13" ht="13.5" hidden="1" thickBot="1">
      <c r="A237" s="690"/>
      <c r="B237" s="690"/>
      <c r="C237" s="186" t="s">
        <v>17</v>
      </c>
      <c r="D237" s="691"/>
      <c r="E237" s="314">
        <f t="shared" si="16"/>
        <v>0</v>
      </c>
      <c r="F237" s="186">
        <v>0</v>
      </c>
      <c r="G237" s="186">
        <v>0</v>
      </c>
      <c r="H237" s="186">
        <v>0</v>
      </c>
      <c r="I237" s="186">
        <v>0</v>
      </c>
      <c r="J237" s="187">
        <v>0</v>
      </c>
      <c r="K237" s="190"/>
      <c r="L237" s="627"/>
      <c r="M237" s="339"/>
    </row>
    <row r="238" spans="1:14" ht="13.5" customHeight="1" hidden="1">
      <c r="A238" s="690"/>
      <c r="B238" s="690" t="s">
        <v>105</v>
      </c>
      <c r="C238" s="182" t="s">
        <v>14</v>
      </c>
      <c r="D238" s="691">
        <v>1311000</v>
      </c>
      <c r="E238" s="312">
        <f t="shared" si="16"/>
        <v>0</v>
      </c>
      <c r="F238" s="182">
        <v>0</v>
      </c>
      <c r="G238" s="182">
        <v>0</v>
      </c>
      <c r="H238" s="182">
        <v>0</v>
      </c>
      <c r="I238" s="182">
        <v>0</v>
      </c>
      <c r="J238" s="183">
        <v>0</v>
      </c>
      <c r="K238" s="188"/>
      <c r="L238" s="627"/>
      <c r="M238" s="339"/>
      <c r="N238" s="49"/>
    </row>
    <row r="239" spans="1:13" ht="13.5" hidden="1" thickBot="1">
      <c r="A239" s="690"/>
      <c r="B239" s="690"/>
      <c r="C239" s="184" t="s">
        <v>16</v>
      </c>
      <c r="D239" s="691"/>
      <c r="E239" s="313">
        <f t="shared" si="16"/>
        <v>0</v>
      </c>
      <c r="F239" s="184">
        <v>0</v>
      </c>
      <c r="G239" s="184">
        <v>0</v>
      </c>
      <c r="H239" s="184">
        <v>0</v>
      </c>
      <c r="I239" s="184">
        <v>0</v>
      </c>
      <c r="J239" s="185">
        <v>0</v>
      </c>
      <c r="K239" s="189"/>
      <c r="L239" s="627"/>
      <c r="M239" s="339"/>
    </row>
    <row r="240" spans="1:13" ht="13.5" hidden="1" thickBot="1">
      <c r="A240" s="690"/>
      <c r="B240" s="690"/>
      <c r="C240" s="186" t="s">
        <v>17</v>
      </c>
      <c r="D240" s="691"/>
      <c r="E240" s="314">
        <f t="shared" si="16"/>
        <v>0</v>
      </c>
      <c r="F240" s="186">
        <v>0</v>
      </c>
      <c r="G240" s="186">
        <v>0</v>
      </c>
      <c r="H240" s="186">
        <v>0</v>
      </c>
      <c r="I240" s="186">
        <v>0</v>
      </c>
      <c r="J240" s="187">
        <v>0</v>
      </c>
      <c r="K240" s="190"/>
      <c r="L240" s="627"/>
      <c r="M240" s="339"/>
    </row>
    <row r="241" spans="1:13" ht="13.5" customHeight="1" thickBot="1">
      <c r="A241" s="682"/>
      <c r="B241" s="683" t="s">
        <v>74</v>
      </c>
      <c r="C241" s="164" t="s">
        <v>14</v>
      </c>
      <c r="D241" s="684"/>
      <c r="E241" s="296">
        <f t="shared" si="16"/>
        <v>45899.6</v>
      </c>
      <c r="F241" s="164">
        <f>F160+F163+F184+F196+F208+F220+F232</f>
        <v>45899.6</v>
      </c>
      <c r="G241" s="164">
        <f aca="true" t="shared" si="18" ref="G241:J242">G160+G163+G184+G196+G208+G220+G232</f>
        <v>0</v>
      </c>
      <c r="H241" s="164">
        <f t="shared" si="18"/>
        <v>0</v>
      </c>
      <c r="I241" s="164">
        <f t="shared" si="18"/>
        <v>0</v>
      </c>
      <c r="J241" s="164">
        <f t="shared" si="18"/>
        <v>0</v>
      </c>
      <c r="K241" s="166"/>
      <c r="L241" s="627"/>
      <c r="M241" s="339"/>
    </row>
    <row r="242" spans="1:13" ht="13.5" thickBot="1">
      <c r="A242" s="682"/>
      <c r="B242" s="683"/>
      <c r="C242" s="167" t="s">
        <v>16</v>
      </c>
      <c r="D242" s="684"/>
      <c r="E242" s="297">
        <f t="shared" si="16"/>
        <v>405000</v>
      </c>
      <c r="F242" s="167">
        <f>F161+F164+F185+F197+F209+F221+F233</f>
        <v>405000</v>
      </c>
      <c r="G242" s="167">
        <f t="shared" si="18"/>
        <v>0</v>
      </c>
      <c r="H242" s="167">
        <f t="shared" si="18"/>
        <v>0</v>
      </c>
      <c r="I242" s="167">
        <f t="shared" si="18"/>
        <v>0</v>
      </c>
      <c r="J242" s="167">
        <f t="shared" si="18"/>
        <v>0</v>
      </c>
      <c r="K242" s="169"/>
      <c r="L242" s="627"/>
      <c r="M242" s="339"/>
    </row>
    <row r="243" spans="1:13" ht="13.5" thickBot="1">
      <c r="A243" s="682"/>
      <c r="B243" s="683"/>
      <c r="C243" s="170" t="s">
        <v>17</v>
      </c>
      <c r="D243" s="684"/>
      <c r="E243" s="298">
        <f t="shared" si="16"/>
        <v>0</v>
      </c>
      <c r="F243" s="170">
        <f>F162+F165+F186+F198+F210+F222+F234</f>
        <v>0</v>
      </c>
      <c r="G243" s="170">
        <f>G162+G165+G186+G198+G210+G222+G234</f>
        <v>0</v>
      </c>
      <c r="H243" s="170">
        <f>H162+H165+H186+H198+H210+H222+H234</f>
        <v>0</v>
      </c>
      <c r="I243" s="170">
        <f>I162+I165+I186+I198+I210+I222+I234</f>
        <v>0</v>
      </c>
      <c r="J243" s="170">
        <f>J162+J165+J186+J198+J210+J222+J234</f>
        <v>0</v>
      </c>
      <c r="K243" s="171"/>
      <c r="L243" s="627"/>
      <c r="M243" s="339"/>
    </row>
    <row r="244" spans="1:14" ht="15.75" customHeight="1" thickBot="1">
      <c r="A244" s="685"/>
      <c r="B244" s="686" t="s">
        <v>75</v>
      </c>
      <c r="C244" s="191" t="s">
        <v>14</v>
      </c>
      <c r="D244" s="332">
        <f>SUM(F244:J244)</f>
        <v>66320921.900000006</v>
      </c>
      <c r="E244" s="192">
        <f t="shared" si="16"/>
        <v>66320921.900000006</v>
      </c>
      <c r="F244" s="192">
        <f>F132+F152+F241</f>
        <v>28421539.830000002</v>
      </c>
      <c r="G244" s="192">
        <f>G132+G152+G241</f>
        <v>25036446.93</v>
      </c>
      <c r="H244" s="192">
        <f>H132+H152+H241</f>
        <v>5256932.679999999</v>
      </c>
      <c r="I244" s="192">
        <f>I132+I152+I241</f>
        <v>3806002.46</v>
      </c>
      <c r="J244" s="192">
        <f>J132+J152+J241</f>
        <v>3800000</v>
      </c>
      <c r="K244" s="193"/>
      <c r="L244" s="627"/>
      <c r="M244" s="340">
        <f>M45+M108+M111+M114+M117+M120+M123+M126+M129</f>
        <v>68168.85999999999</v>
      </c>
      <c r="N244" s="261"/>
    </row>
    <row r="245" spans="1:14" ht="15.75" thickBot="1">
      <c r="A245" s="685"/>
      <c r="B245" s="686"/>
      <c r="C245" s="194" t="s">
        <v>16</v>
      </c>
      <c r="D245" s="332">
        <f>SUM(F245:J245)</f>
        <v>12997986.88</v>
      </c>
      <c r="E245" s="195">
        <f t="shared" si="16"/>
        <v>12997986.88</v>
      </c>
      <c r="F245" s="195">
        <f aca="true" t="shared" si="19" ref="F245:J246">F133+F153+F242</f>
        <v>405000</v>
      </c>
      <c r="G245" s="195">
        <f t="shared" si="19"/>
        <v>7182949.96</v>
      </c>
      <c r="H245" s="195">
        <f>H133+H153+H242</f>
        <v>5410036.920000001</v>
      </c>
      <c r="I245" s="195">
        <f t="shared" si="19"/>
        <v>0</v>
      </c>
      <c r="J245" s="195">
        <f t="shared" si="19"/>
        <v>0</v>
      </c>
      <c r="K245" s="196"/>
      <c r="L245" s="627"/>
      <c r="M245" s="340">
        <f>M46+M109+M112+M115+M118+M121+M127+M130</f>
        <v>1364280.0200000005</v>
      </c>
      <c r="N245" s="261"/>
    </row>
    <row r="246" spans="1:13" ht="15.75" thickBot="1">
      <c r="A246" s="685"/>
      <c r="B246" s="686"/>
      <c r="C246" s="197" t="s">
        <v>17</v>
      </c>
      <c r="D246" s="332">
        <f>SUM(F246:J246)</f>
        <v>168588975.98</v>
      </c>
      <c r="E246" s="198">
        <f t="shared" si="16"/>
        <v>168588975.98</v>
      </c>
      <c r="F246" s="325">
        <f t="shared" si="19"/>
        <v>3752000</v>
      </c>
      <c r="G246" s="325">
        <f t="shared" si="19"/>
        <v>83520975.97999999</v>
      </c>
      <c r="H246" s="325">
        <f t="shared" si="19"/>
        <v>48752000</v>
      </c>
      <c r="I246" s="325">
        <f t="shared" si="19"/>
        <v>32564000</v>
      </c>
      <c r="J246" s="325">
        <f t="shared" si="19"/>
        <v>0</v>
      </c>
      <c r="K246" s="199"/>
      <c r="L246" s="730"/>
      <c r="M246" s="339"/>
    </row>
    <row r="247" spans="1:13" ht="15.75" thickBot="1">
      <c r="A247" s="200"/>
      <c r="B247" s="200" t="s">
        <v>111</v>
      </c>
      <c r="C247" s="200"/>
      <c r="D247" s="332">
        <f>F247+G247+H247+I247+J247</f>
        <v>247907884.76</v>
      </c>
      <c r="E247" s="201">
        <f t="shared" si="16"/>
        <v>247907884.76</v>
      </c>
      <c r="F247" s="326">
        <f>SUM(F244:F246)</f>
        <v>32578539.830000002</v>
      </c>
      <c r="G247" s="326">
        <f>SUM(G244:G246)</f>
        <v>115740372.86999999</v>
      </c>
      <c r="H247" s="326">
        <f>SUM(H244:H246)</f>
        <v>59418969.6</v>
      </c>
      <c r="I247" s="326">
        <f>SUM(I244:I246)</f>
        <v>36370002.46</v>
      </c>
      <c r="J247" s="326">
        <f>SUM(J244:J246)</f>
        <v>3800000</v>
      </c>
      <c r="K247" s="202"/>
      <c r="L247" s="113"/>
      <c r="M247" s="333"/>
    </row>
    <row r="248" spans="4:11" ht="15">
      <c r="D248" s="95"/>
      <c r="F248" s="96"/>
      <c r="G248" s="96"/>
      <c r="H248" s="96"/>
      <c r="I248" s="96"/>
      <c r="J248" s="96"/>
      <c r="K248" s="96"/>
    </row>
    <row r="249" spans="3:15" ht="15">
      <c r="C249" t="s">
        <v>77</v>
      </c>
      <c r="D249" s="660"/>
      <c r="E249" s="49"/>
      <c r="F249" s="324"/>
      <c r="G249" s="324"/>
      <c r="H249" s="324"/>
      <c r="I249" s="324"/>
      <c r="J249" s="324"/>
      <c r="O249" s="261">
        <v>68168.86</v>
      </c>
    </row>
    <row r="250" spans="4:15" ht="15">
      <c r="D250" s="660"/>
      <c r="E250" s="261"/>
      <c r="F250" s="333"/>
      <c r="G250" s="324"/>
      <c r="H250" s="334">
        <f>75989212.76-H247</f>
        <v>16570243.160000004</v>
      </c>
      <c r="I250" s="334">
        <f>H250-2629419.35</f>
        <v>13940823.810000004</v>
      </c>
      <c r="J250" s="261"/>
      <c r="O250" s="261">
        <v>1364280.02</v>
      </c>
    </row>
    <row r="251" spans="5:15" ht="12.75">
      <c r="E251" s="261"/>
      <c r="F251" s="335"/>
      <c r="G251" s="335"/>
      <c r="H251" s="334"/>
      <c r="I251" s="334"/>
      <c r="J251" s="261"/>
      <c r="O251" s="261">
        <f>O249+O250</f>
        <v>1432448.8800000001</v>
      </c>
    </row>
    <row r="252" spans="3:9" ht="12.75">
      <c r="C252" s="261"/>
      <c r="F252" s="335"/>
      <c r="G252" s="335"/>
      <c r="H252" s="334"/>
      <c r="I252" s="334"/>
    </row>
    <row r="253" spans="8:10" ht="12.75">
      <c r="H253" s="261">
        <f>6714004.72</f>
        <v>6714004.72</v>
      </c>
      <c r="I253" s="331"/>
      <c r="J253" s="331"/>
    </row>
    <row r="254" ht="12.75">
      <c r="H254" s="261">
        <f>H245-H253</f>
        <v>-1303967.7999999989</v>
      </c>
    </row>
  </sheetData>
  <sheetProtection/>
  <mergeCells count="250">
    <mergeCell ref="A5:L5"/>
    <mergeCell ref="A6:L6"/>
    <mergeCell ref="A9:A10"/>
    <mergeCell ref="B9:B10"/>
    <mergeCell ref="C9:C10"/>
    <mergeCell ref="D9:D10"/>
    <mergeCell ref="E9:E10"/>
    <mergeCell ref="F9:J9"/>
    <mergeCell ref="K9:K10"/>
    <mergeCell ref="L9:L10"/>
    <mergeCell ref="A11:L11"/>
    <mergeCell ref="A12:A14"/>
    <mergeCell ref="B12:B14"/>
    <mergeCell ref="D12:D14"/>
    <mergeCell ref="L12:L246"/>
    <mergeCell ref="A15:A17"/>
    <mergeCell ref="B15:B17"/>
    <mergeCell ref="D15:D17"/>
    <mergeCell ref="A18:A20"/>
    <mergeCell ref="B18:B20"/>
    <mergeCell ref="D18:D20"/>
    <mergeCell ref="K18:K20"/>
    <mergeCell ref="A21:A23"/>
    <mergeCell ref="B21:B23"/>
    <mergeCell ref="D21:D23"/>
    <mergeCell ref="A24:A26"/>
    <mergeCell ref="B24:B26"/>
    <mergeCell ref="D24:D26"/>
    <mergeCell ref="A27:A29"/>
    <mergeCell ref="B27:B29"/>
    <mergeCell ref="D27:D29"/>
    <mergeCell ref="K27:K29"/>
    <mergeCell ref="A30:A32"/>
    <mergeCell ref="B30:B32"/>
    <mergeCell ref="D30:D32"/>
    <mergeCell ref="A33:A35"/>
    <mergeCell ref="B33:B35"/>
    <mergeCell ref="D33:D35"/>
    <mergeCell ref="A36:A38"/>
    <mergeCell ref="B36:B38"/>
    <mergeCell ref="D36:D38"/>
    <mergeCell ref="A39:A41"/>
    <mergeCell ref="B39:B41"/>
    <mergeCell ref="D39:D41"/>
    <mergeCell ref="K39:K41"/>
    <mergeCell ref="A42:A44"/>
    <mergeCell ref="B42:B44"/>
    <mergeCell ref="D42:D44"/>
    <mergeCell ref="A45:A47"/>
    <mergeCell ref="B45:B47"/>
    <mergeCell ref="D45:D47"/>
    <mergeCell ref="A48:A50"/>
    <mergeCell ref="B48:B50"/>
    <mergeCell ref="D48:D50"/>
    <mergeCell ref="A51:A53"/>
    <mergeCell ref="B51:B53"/>
    <mergeCell ref="A54:A56"/>
    <mergeCell ref="B54:B56"/>
    <mergeCell ref="D54:D56"/>
    <mergeCell ref="A57:A59"/>
    <mergeCell ref="B57:B59"/>
    <mergeCell ref="D57:D59"/>
    <mergeCell ref="A60:A62"/>
    <mergeCell ref="B60:B62"/>
    <mergeCell ref="D60:D62"/>
    <mergeCell ref="A63:A65"/>
    <mergeCell ref="B63:B65"/>
    <mergeCell ref="D63:D65"/>
    <mergeCell ref="A66:A68"/>
    <mergeCell ref="B66:B68"/>
    <mergeCell ref="D66:D68"/>
    <mergeCell ref="A69:A71"/>
    <mergeCell ref="B69:B71"/>
    <mergeCell ref="D69:D71"/>
    <mergeCell ref="A72:A74"/>
    <mergeCell ref="B72:B74"/>
    <mergeCell ref="D72:D74"/>
    <mergeCell ref="A75:A77"/>
    <mergeCell ref="B75:B77"/>
    <mergeCell ref="D75:D77"/>
    <mergeCell ref="K75:K77"/>
    <mergeCell ref="A78:A80"/>
    <mergeCell ref="B78:B80"/>
    <mergeCell ref="D78:D80"/>
    <mergeCell ref="A81:A83"/>
    <mergeCell ref="B81:B83"/>
    <mergeCell ref="D81:D83"/>
    <mergeCell ref="A84:A86"/>
    <mergeCell ref="B84:B86"/>
    <mergeCell ref="D84:D86"/>
    <mergeCell ref="A87:A89"/>
    <mergeCell ref="B87:B89"/>
    <mergeCell ref="D87:D89"/>
    <mergeCell ref="A90:A92"/>
    <mergeCell ref="B90:B92"/>
    <mergeCell ref="D90:D92"/>
    <mergeCell ref="A93:A95"/>
    <mergeCell ref="B93:B95"/>
    <mergeCell ref="D93:D95"/>
    <mergeCell ref="A96:A98"/>
    <mergeCell ref="B96:B98"/>
    <mergeCell ref="D96:D98"/>
    <mergeCell ref="A99:A101"/>
    <mergeCell ref="B99:B101"/>
    <mergeCell ref="D99:D101"/>
    <mergeCell ref="K99:K101"/>
    <mergeCell ref="A102:A104"/>
    <mergeCell ref="B102:B104"/>
    <mergeCell ref="D102:D104"/>
    <mergeCell ref="A105:A107"/>
    <mergeCell ref="B105:B107"/>
    <mergeCell ref="D105:D107"/>
    <mergeCell ref="A108:A110"/>
    <mergeCell ref="B108:B110"/>
    <mergeCell ref="D108:D110"/>
    <mergeCell ref="A111:A113"/>
    <mergeCell ref="B111:B113"/>
    <mergeCell ref="D111:D113"/>
    <mergeCell ref="A114:A116"/>
    <mergeCell ref="B114:B116"/>
    <mergeCell ref="D114:D116"/>
    <mergeCell ref="A117:A119"/>
    <mergeCell ref="B117:B119"/>
    <mergeCell ref="D117:D119"/>
    <mergeCell ref="A120:A122"/>
    <mergeCell ref="B120:B122"/>
    <mergeCell ref="D120:D122"/>
    <mergeCell ref="A123:A125"/>
    <mergeCell ref="B123:B125"/>
    <mergeCell ref="D123:D125"/>
    <mergeCell ref="A126:A128"/>
    <mergeCell ref="B126:B128"/>
    <mergeCell ref="D126:D128"/>
    <mergeCell ref="A129:A131"/>
    <mergeCell ref="B129:B131"/>
    <mergeCell ref="D129:D131"/>
    <mergeCell ref="A132:A134"/>
    <mergeCell ref="B132:B134"/>
    <mergeCell ref="D132:D134"/>
    <mergeCell ref="A136:J136"/>
    <mergeCell ref="A137:A139"/>
    <mergeCell ref="B137:B139"/>
    <mergeCell ref="D137:D139"/>
    <mergeCell ref="A140:A142"/>
    <mergeCell ref="B140:B142"/>
    <mergeCell ref="D140:D142"/>
    <mergeCell ref="A143:A145"/>
    <mergeCell ref="B143:B145"/>
    <mergeCell ref="D143:D145"/>
    <mergeCell ref="A146:A148"/>
    <mergeCell ref="B146:B148"/>
    <mergeCell ref="D146:D148"/>
    <mergeCell ref="A149:A151"/>
    <mergeCell ref="B149:B151"/>
    <mergeCell ref="D149:D151"/>
    <mergeCell ref="A152:A154"/>
    <mergeCell ref="B152:B154"/>
    <mergeCell ref="D152:D154"/>
    <mergeCell ref="A155:A157"/>
    <mergeCell ref="B155:B157"/>
    <mergeCell ref="D155:D157"/>
    <mergeCell ref="A159:J159"/>
    <mergeCell ref="A160:A162"/>
    <mergeCell ref="B160:B162"/>
    <mergeCell ref="D160:D162"/>
    <mergeCell ref="K160:K234"/>
    <mergeCell ref="A163:A165"/>
    <mergeCell ref="B163:B165"/>
    <mergeCell ref="D163:D165"/>
    <mergeCell ref="A166:A168"/>
    <mergeCell ref="B166:B168"/>
    <mergeCell ref="D166:D168"/>
    <mergeCell ref="A169:A171"/>
    <mergeCell ref="B169:B171"/>
    <mergeCell ref="D169:D171"/>
    <mergeCell ref="A172:A174"/>
    <mergeCell ref="B172:B174"/>
    <mergeCell ref="D172:D174"/>
    <mergeCell ref="A175:A177"/>
    <mergeCell ref="B175:B177"/>
    <mergeCell ref="D175:D177"/>
    <mergeCell ref="A178:A180"/>
    <mergeCell ref="B178:B180"/>
    <mergeCell ref="D178:D180"/>
    <mergeCell ref="A181:A183"/>
    <mergeCell ref="B181:B183"/>
    <mergeCell ref="D181:D183"/>
    <mergeCell ref="A184:A186"/>
    <mergeCell ref="B184:B186"/>
    <mergeCell ref="D184:D186"/>
    <mergeCell ref="A187:A189"/>
    <mergeCell ref="B187:B189"/>
    <mergeCell ref="D187:D189"/>
    <mergeCell ref="A190:A192"/>
    <mergeCell ref="B190:B192"/>
    <mergeCell ref="D190:D192"/>
    <mergeCell ref="A193:A195"/>
    <mergeCell ref="B193:B195"/>
    <mergeCell ref="D193:D195"/>
    <mergeCell ref="A196:A198"/>
    <mergeCell ref="B196:B198"/>
    <mergeCell ref="D196:D198"/>
    <mergeCell ref="A199:A201"/>
    <mergeCell ref="B199:B201"/>
    <mergeCell ref="D199:D201"/>
    <mergeCell ref="A202:A204"/>
    <mergeCell ref="B202:B204"/>
    <mergeCell ref="D202:D204"/>
    <mergeCell ref="A205:A207"/>
    <mergeCell ref="B205:B207"/>
    <mergeCell ref="D205:D207"/>
    <mergeCell ref="A208:A210"/>
    <mergeCell ref="B208:B210"/>
    <mergeCell ref="D208:D210"/>
    <mergeCell ref="A211:A213"/>
    <mergeCell ref="B211:B213"/>
    <mergeCell ref="D211:D213"/>
    <mergeCell ref="A214:A216"/>
    <mergeCell ref="B214:B216"/>
    <mergeCell ref="D214:D216"/>
    <mergeCell ref="A217:A219"/>
    <mergeCell ref="B217:B219"/>
    <mergeCell ref="D217:D219"/>
    <mergeCell ref="A220:A222"/>
    <mergeCell ref="B220:B222"/>
    <mergeCell ref="D220:D222"/>
    <mergeCell ref="A223:A225"/>
    <mergeCell ref="B223:B225"/>
    <mergeCell ref="D223:D225"/>
    <mergeCell ref="A226:A228"/>
    <mergeCell ref="B226:B228"/>
    <mergeCell ref="D226:D228"/>
    <mergeCell ref="A229:A231"/>
    <mergeCell ref="B229:B231"/>
    <mergeCell ref="D229:D231"/>
    <mergeCell ref="A232:A234"/>
    <mergeCell ref="B232:B234"/>
    <mergeCell ref="D232:D234"/>
    <mergeCell ref="A235:A237"/>
    <mergeCell ref="B235:B237"/>
    <mergeCell ref="D235:D237"/>
    <mergeCell ref="A238:A240"/>
    <mergeCell ref="B238:B240"/>
    <mergeCell ref="D238:D240"/>
    <mergeCell ref="A241:A243"/>
    <mergeCell ref="B241:B243"/>
    <mergeCell ref="D241:D243"/>
    <mergeCell ref="A244:A246"/>
    <mergeCell ref="B244:B246"/>
    <mergeCell ref="D249:D250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65"/>
  <sheetViews>
    <sheetView zoomScale="68" zoomScaleNormal="68" zoomScalePageLayoutView="0" workbookViewId="0" topLeftCell="B129">
      <selection activeCell="G263" sqref="G263"/>
    </sheetView>
  </sheetViews>
  <sheetFormatPr defaultColWidth="11.57421875" defaultRowHeight="12.75"/>
  <cols>
    <col min="1" max="1" width="6.8515625" style="0" customWidth="1"/>
    <col min="2" max="2" width="80.7109375" style="0" customWidth="1"/>
    <col min="3" max="3" width="37.00390625" style="0" customWidth="1"/>
    <col min="4" max="4" width="19.140625" style="0" customWidth="1"/>
    <col min="5" max="5" width="13.57421875" style="0" hidden="1" customWidth="1"/>
    <col min="6" max="6" width="16.00390625" style="0" customWidth="1"/>
    <col min="7" max="7" width="17.57421875" style="0" customWidth="1"/>
    <col min="8" max="8" width="17.00390625" style="0" customWidth="1"/>
    <col min="9" max="9" width="16.8515625" style="0" customWidth="1"/>
    <col min="10" max="10" width="17.7109375" style="0" customWidth="1"/>
    <col min="11" max="11" width="13.00390625" style="0" customWidth="1"/>
    <col min="12" max="13" width="12.7109375" style="0" customWidth="1"/>
    <col min="14" max="14" width="12.28125" style="0" bestFit="1" customWidth="1"/>
    <col min="15" max="15" width="12.7109375" style="0" bestFit="1" customWidth="1"/>
  </cols>
  <sheetData>
    <row r="1" spans="12:13" ht="12.75">
      <c r="L1" s="110" t="s">
        <v>0</v>
      </c>
      <c r="M1" s="110"/>
    </row>
    <row r="2" spans="3:13" ht="12.75">
      <c r="C2" s="261"/>
      <c r="L2" s="110" t="s">
        <v>1</v>
      </c>
      <c r="M2" s="110"/>
    </row>
    <row r="3" spans="12:13" ht="12.75">
      <c r="L3" s="110" t="s">
        <v>2</v>
      </c>
      <c r="M3" s="110"/>
    </row>
    <row r="4" spans="1:13" ht="13.5" customHeight="1">
      <c r="A4" s="1"/>
      <c r="B4" s="1"/>
      <c r="C4" s="1"/>
      <c r="D4" s="1"/>
      <c r="E4" s="6"/>
      <c r="F4" s="1"/>
      <c r="G4" s="1"/>
      <c r="H4" s="1"/>
      <c r="I4" s="1"/>
      <c r="J4" s="1"/>
      <c r="K4" s="1"/>
      <c r="L4" s="111" t="s">
        <v>119</v>
      </c>
      <c r="M4" s="111"/>
    </row>
    <row r="5" spans="1:13" ht="15">
      <c r="A5" s="619" t="s">
        <v>3</v>
      </c>
      <c r="B5" s="619"/>
      <c r="C5" s="619"/>
      <c r="D5" s="619"/>
      <c r="E5" s="619"/>
      <c r="F5" s="619"/>
      <c r="G5" s="619"/>
      <c r="H5" s="619"/>
      <c r="I5" s="619"/>
      <c r="J5" s="619"/>
      <c r="K5" s="619"/>
      <c r="L5" s="619"/>
      <c r="M5" s="336"/>
    </row>
    <row r="6" spans="1:13" ht="15.75" customHeight="1">
      <c r="A6" s="620" t="s">
        <v>4</v>
      </c>
      <c r="B6" s="620"/>
      <c r="C6" s="620"/>
      <c r="D6" s="620"/>
      <c r="E6" s="620"/>
      <c r="F6" s="620"/>
      <c r="G6" s="620"/>
      <c r="H6" s="620"/>
      <c r="I6" s="620"/>
      <c r="J6" s="620"/>
      <c r="K6" s="620"/>
      <c r="L6" s="620"/>
      <c r="M6" s="112"/>
    </row>
    <row r="7" spans="1:13" ht="15.75" customHeight="1">
      <c r="A7" s="112"/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</row>
    <row r="8" spans="1:13" ht="12.75" customHeight="1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4" s="10" customFormat="1" ht="18.75" customHeight="1">
      <c r="A9" s="621" t="s">
        <v>5</v>
      </c>
      <c r="B9" s="622" t="s">
        <v>6</v>
      </c>
      <c r="C9" s="622" t="s">
        <v>7</v>
      </c>
      <c r="D9" s="622" t="s">
        <v>183</v>
      </c>
      <c r="E9" s="735" t="s">
        <v>157</v>
      </c>
      <c r="F9" s="610" t="s">
        <v>10</v>
      </c>
      <c r="G9" s="610"/>
      <c r="H9" s="610"/>
      <c r="I9" s="610"/>
      <c r="J9" s="610"/>
      <c r="K9" s="728" t="s">
        <v>128</v>
      </c>
      <c r="L9" s="623" t="s">
        <v>11</v>
      </c>
      <c r="M9" s="337"/>
      <c r="N9" s="9"/>
    </row>
    <row r="10" spans="1:14" s="10" customFormat="1" ht="47.25" customHeight="1">
      <c r="A10" s="621"/>
      <c r="B10" s="622"/>
      <c r="C10" s="622"/>
      <c r="D10" s="622"/>
      <c r="E10" s="735"/>
      <c r="F10" s="11">
        <v>2011</v>
      </c>
      <c r="G10" s="11">
        <v>2012</v>
      </c>
      <c r="H10" s="11">
        <v>2013</v>
      </c>
      <c r="I10" s="11">
        <v>2014</v>
      </c>
      <c r="J10" s="11">
        <v>2015</v>
      </c>
      <c r="K10" s="729"/>
      <c r="L10" s="623"/>
      <c r="M10" s="337"/>
      <c r="N10" s="9"/>
    </row>
    <row r="11" spans="1:14" s="10" customFormat="1" ht="19.5" customHeight="1" thickBot="1">
      <c r="A11" s="736" t="s">
        <v>12</v>
      </c>
      <c r="B11" s="736"/>
      <c r="C11" s="736"/>
      <c r="D11" s="736"/>
      <c r="E11" s="736"/>
      <c r="F11" s="736"/>
      <c r="G11" s="736"/>
      <c r="H11" s="736"/>
      <c r="I11" s="736"/>
      <c r="J11" s="736"/>
      <c r="K11" s="737"/>
      <c r="L11" s="736"/>
      <c r="M11" s="338"/>
      <c r="N11" s="9"/>
    </row>
    <row r="12" spans="1:14" ht="13.5" customHeight="1" thickBot="1">
      <c r="A12" s="669">
        <v>1</v>
      </c>
      <c r="B12" s="680" t="s">
        <v>109</v>
      </c>
      <c r="C12" s="203" t="s">
        <v>14</v>
      </c>
      <c r="D12" s="673">
        <f>D15+D18</f>
        <v>156474400</v>
      </c>
      <c r="E12" s="279">
        <f aca="true" t="shared" si="0" ref="E12:E65">SUM(F12:J12)</f>
        <v>0</v>
      </c>
      <c r="F12" s="115">
        <f>F15+F18</f>
        <v>0</v>
      </c>
      <c r="G12" s="115">
        <f>G15+G18</f>
        <v>0</v>
      </c>
      <c r="H12" s="115">
        <f>H15+H18</f>
        <v>0</v>
      </c>
      <c r="I12" s="115">
        <f>I15+I18</f>
        <v>0</v>
      </c>
      <c r="J12" s="117">
        <f>J15+J18</f>
        <v>0</v>
      </c>
      <c r="K12" s="118"/>
      <c r="L12" s="627" t="s">
        <v>15</v>
      </c>
      <c r="M12" s="339"/>
      <c r="N12" s="1"/>
    </row>
    <row r="13" spans="1:14" ht="13.5" customHeight="1" thickBot="1">
      <c r="A13" s="669"/>
      <c r="B13" s="680"/>
      <c r="C13" s="205" t="s">
        <v>16</v>
      </c>
      <c r="D13" s="673"/>
      <c r="E13" s="280">
        <f t="shared" si="0"/>
        <v>0</v>
      </c>
      <c r="F13" s="119">
        <v>0</v>
      </c>
      <c r="G13" s="119">
        <f aca="true" t="shared" si="1" ref="G13:J14">G16+G19</f>
        <v>0</v>
      </c>
      <c r="H13" s="119">
        <f t="shared" si="1"/>
        <v>0</v>
      </c>
      <c r="I13" s="119">
        <f t="shared" si="1"/>
        <v>0</v>
      </c>
      <c r="J13" s="121">
        <f t="shared" si="1"/>
        <v>0</v>
      </c>
      <c r="K13" s="122"/>
      <c r="L13" s="627"/>
      <c r="M13" s="339"/>
      <c r="N13" s="1"/>
    </row>
    <row r="14" spans="1:14" ht="15" customHeight="1" thickBot="1">
      <c r="A14" s="669"/>
      <c r="B14" s="680"/>
      <c r="C14" s="207" t="s">
        <v>17</v>
      </c>
      <c r="D14" s="673"/>
      <c r="E14" s="281">
        <f>SUM(F14:J14)-F14</f>
        <v>7504000</v>
      </c>
      <c r="F14" s="119">
        <f>F17+F20</f>
        <v>3752000</v>
      </c>
      <c r="G14" s="119">
        <f>G17+G20</f>
        <v>3752000</v>
      </c>
      <c r="H14" s="123">
        <f t="shared" si="1"/>
        <v>3752000</v>
      </c>
      <c r="I14" s="123">
        <f t="shared" si="1"/>
        <v>0</v>
      </c>
      <c r="J14" s="125">
        <f t="shared" si="1"/>
        <v>0</v>
      </c>
      <c r="K14" s="126"/>
      <c r="L14" s="627"/>
      <c r="M14" s="339"/>
      <c r="N14" s="1"/>
    </row>
    <row r="15" spans="1:14" ht="13.5" customHeight="1" thickBot="1">
      <c r="A15" s="711"/>
      <c r="B15" s="731" t="s">
        <v>18</v>
      </c>
      <c r="C15" s="209" t="s">
        <v>14</v>
      </c>
      <c r="D15" s="732">
        <v>3752000</v>
      </c>
      <c r="E15" s="282">
        <f t="shared" si="0"/>
        <v>0</v>
      </c>
      <c r="F15" s="127">
        <v>0</v>
      </c>
      <c r="G15" s="127">
        <v>0</v>
      </c>
      <c r="H15" s="127">
        <v>0</v>
      </c>
      <c r="I15" s="127">
        <v>0</v>
      </c>
      <c r="J15" s="129">
        <v>0</v>
      </c>
      <c r="K15" s="130"/>
      <c r="L15" s="627"/>
      <c r="M15" s="339"/>
      <c r="N15" s="1"/>
    </row>
    <row r="16" spans="1:14" ht="13.5" thickBot="1">
      <c r="A16" s="711"/>
      <c r="B16" s="731"/>
      <c r="C16" s="210" t="s">
        <v>16</v>
      </c>
      <c r="D16" s="732"/>
      <c r="E16" s="283">
        <f t="shared" si="0"/>
        <v>0</v>
      </c>
      <c r="F16" s="131">
        <v>0</v>
      </c>
      <c r="G16" s="131">
        <v>0</v>
      </c>
      <c r="H16" s="131">
        <v>0</v>
      </c>
      <c r="I16" s="131">
        <v>0</v>
      </c>
      <c r="J16" s="132">
        <v>0</v>
      </c>
      <c r="K16" s="133"/>
      <c r="L16" s="627"/>
      <c r="M16" s="339"/>
      <c r="N16" s="1"/>
    </row>
    <row r="17" spans="1:14" ht="13.5" thickBot="1">
      <c r="A17" s="711"/>
      <c r="B17" s="731"/>
      <c r="C17" s="210" t="s">
        <v>17</v>
      </c>
      <c r="D17" s="732"/>
      <c r="E17" s="284">
        <f>SUM(F17:J17)-F17</f>
        <v>7504000</v>
      </c>
      <c r="F17" s="114">
        <v>3752000</v>
      </c>
      <c r="G17" s="114">
        <v>3752000</v>
      </c>
      <c r="H17" s="135">
        <v>3752000</v>
      </c>
      <c r="I17" s="135">
        <v>0</v>
      </c>
      <c r="J17" s="136">
        <v>0</v>
      </c>
      <c r="K17" s="137"/>
      <c r="L17" s="627"/>
      <c r="M17" s="339"/>
      <c r="N17" s="1"/>
    </row>
    <row r="18" spans="1:14" ht="13.5" thickBot="1">
      <c r="A18" s="711"/>
      <c r="B18" s="731" t="s">
        <v>19</v>
      </c>
      <c r="C18" s="209" t="s">
        <v>14</v>
      </c>
      <c r="D18" s="732">
        <v>152722400</v>
      </c>
      <c r="E18" s="282">
        <f t="shared" si="0"/>
        <v>0</v>
      </c>
      <c r="F18" s="128">
        <v>0</v>
      </c>
      <c r="G18" s="128">
        <v>0</v>
      </c>
      <c r="H18" s="138"/>
      <c r="I18" s="127">
        <v>0</v>
      </c>
      <c r="J18" s="139">
        <v>0</v>
      </c>
      <c r="K18" s="667" t="s">
        <v>129</v>
      </c>
      <c r="L18" s="627"/>
      <c r="M18" s="339"/>
      <c r="N18" s="1"/>
    </row>
    <row r="19" spans="1:14" ht="13.5" thickBot="1">
      <c r="A19" s="711"/>
      <c r="B19" s="731"/>
      <c r="C19" s="210" t="s">
        <v>16</v>
      </c>
      <c r="D19" s="732"/>
      <c r="E19" s="283">
        <f t="shared" si="0"/>
        <v>0</v>
      </c>
      <c r="F19" s="131">
        <v>0</v>
      </c>
      <c r="G19" s="131">
        <v>0</v>
      </c>
      <c r="H19" s="131">
        <v>0</v>
      </c>
      <c r="I19" s="131">
        <v>0</v>
      </c>
      <c r="J19" s="132">
        <v>0</v>
      </c>
      <c r="K19" s="733"/>
      <c r="L19" s="627"/>
      <c r="M19" s="339"/>
      <c r="N19" s="1"/>
    </row>
    <row r="20" spans="1:15" ht="35.25" customHeight="1" thickBot="1">
      <c r="A20" s="711"/>
      <c r="B20" s="731"/>
      <c r="C20" s="210" t="s">
        <v>17</v>
      </c>
      <c r="D20" s="732"/>
      <c r="E20" s="284">
        <f t="shared" si="0"/>
        <v>0</v>
      </c>
      <c r="F20" s="134">
        <v>0</v>
      </c>
      <c r="G20" s="134">
        <v>0</v>
      </c>
      <c r="H20" s="134">
        <v>0</v>
      </c>
      <c r="I20" s="134">
        <v>0</v>
      </c>
      <c r="J20" s="136">
        <v>0</v>
      </c>
      <c r="K20" s="734"/>
      <c r="L20" s="627"/>
      <c r="M20" s="339"/>
      <c r="N20" s="1"/>
      <c r="O20" s="261"/>
    </row>
    <row r="21" spans="1:14" ht="13.5" customHeight="1" thickBot="1">
      <c r="A21" s="669">
        <v>2</v>
      </c>
      <c r="B21" s="680" t="s">
        <v>110</v>
      </c>
      <c r="C21" s="203" t="s">
        <v>14</v>
      </c>
      <c r="D21" s="673">
        <f>D24+D27</f>
        <v>150629419.35</v>
      </c>
      <c r="E21" s="279">
        <f t="shared" si="0"/>
        <v>2629419.35</v>
      </c>
      <c r="F21" s="115">
        <f>F24+F27</f>
        <v>0</v>
      </c>
      <c r="G21" s="115">
        <f>G24+G27</f>
        <v>0</v>
      </c>
      <c r="H21" s="115">
        <f>H24+H27</f>
        <v>0</v>
      </c>
      <c r="I21" s="115">
        <f>I24+I27</f>
        <v>2629419.35</v>
      </c>
      <c r="J21" s="117">
        <f>J24+J27</f>
        <v>0</v>
      </c>
      <c r="K21" s="118"/>
      <c r="L21" s="627"/>
      <c r="M21" s="339"/>
      <c r="N21" s="1"/>
    </row>
    <row r="22" spans="1:14" ht="13.5" customHeight="1" thickBot="1">
      <c r="A22" s="669"/>
      <c r="B22" s="680"/>
      <c r="C22" s="205" t="s">
        <v>16</v>
      </c>
      <c r="D22" s="673"/>
      <c r="E22" s="280">
        <f t="shared" si="0"/>
        <v>0</v>
      </c>
      <c r="F22" s="119">
        <v>0</v>
      </c>
      <c r="G22" s="119">
        <f aca="true" t="shared" si="2" ref="G22:J23">G25+G28</f>
        <v>0</v>
      </c>
      <c r="H22" s="119">
        <f t="shared" si="2"/>
        <v>0</v>
      </c>
      <c r="I22" s="119">
        <f t="shared" si="2"/>
        <v>0</v>
      </c>
      <c r="J22" s="121">
        <f t="shared" si="2"/>
        <v>0</v>
      </c>
      <c r="K22" s="122"/>
      <c r="L22" s="627"/>
      <c r="M22" s="339"/>
      <c r="N22" s="1"/>
    </row>
    <row r="23" spans="1:14" ht="15.75" customHeight="1" thickBot="1">
      <c r="A23" s="669"/>
      <c r="B23" s="680"/>
      <c r="C23" s="207" t="s">
        <v>17</v>
      </c>
      <c r="D23" s="673"/>
      <c r="E23" s="281">
        <f t="shared" si="0"/>
        <v>0</v>
      </c>
      <c r="F23" s="119">
        <f>F26+F29</f>
        <v>0</v>
      </c>
      <c r="G23" s="119">
        <f t="shared" si="2"/>
        <v>0</v>
      </c>
      <c r="H23" s="123">
        <f t="shared" si="2"/>
        <v>0</v>
      </c>
      <c r="I23" s="123">
        <f t="shared" si="2"/>
        <v>0</v>
      </c>
      <c r="J23" s="125">
        <f t="shared" si="2"/>
        <v>0</v>
      </c>
      <c r="K23" s="126"/>
      <c r="L23" s="627"/>
      <c r="M23" s="339"/>
      <c r="N23" s="1"/>
    </row>
    <row r="24" spans="1:14" ht="13.5" thickBot="1">
      <c r="A24" s="711"/>
      <c r="B24" s="731" t="s">
        <v>91</v>
      </c>
      <c r="C24" s="209" t="s">
        <v>14</v>
      </c>
      <c r="D24" s="732">
        <f>E24+E25+E26</f>
        <v>2629419.35</v>
      </c>
      <c r="E24" s="282">
        <f t="shared" si="0"/>
        <v>2629419.35</v>
      </c>
      <c r="F24" s="128">
        <v>0</v>
      </c>
      <c r="G24" s="128">
        <v>0</v>
      </c>
      <c r="H24" s="138">
        <v>0</v>
      </c>
      <c r="I24" s="127">
        <v>2629419.35</v>
      </c>
      <c r="J24" s="139">
        <v>0</v>
      </c>
      <c r="K24" s="140"/>
      <c r="L24" s="627"/>
      <c r="M24" s="339"/>
      <c r="N24" s="1"/>
    </row>
    <row r="25" spans="1:14" ht="13.5" thickBot="1">
      <c r="A25" s="711"/>
      <c r="B25" s="731"/>
      <c r="C25" s="210" t="s">
        <v>16</v>
      </c>
      <c r="D25" s="732"/>
      <c r="E25" s="283">
        <f t="shared" si="0"/>
        <v>0</v>
      </c>
      <c r="F25" s="131">
        <v>0</v>
      </c>
      <c r="G25" s="131">
        <v>0</v>
      </c>
      <c r="H25" s="131">
        <v>0</v>
      </c>
      <c r="I25" s="131">
        <v>0</v>
      </c>
      <c r="J25" s="132">
        <v>0</v>
      </c>
      <c r="K25" s="133"/>
      <c r="L25" s="627"/>
      <c r="M25" s="339"/>
      <c r="N25" s="1"/>
    </row>
    <row r="26" spans="1:14" ht="13.5" customHeight="1" thickBot="1">
      <c r="A26" s="711"/>
      <c r="B26" s="731"/>
      <c r="C26" s="210" t="s">
        <v>17</v>
      </c>
      <c r="D26" s="732"/>
      <c r="E26" s="284">
        <f t="shared" si="0"/>
        <v>0</v>
      </c>
      <c r="F26" s="134">
        <v>0</v>
      </c>
      <c r="G26" s="134">
        <v>0</v>
      </c>
      <c r="H26" s="134">
        <v>0</v>
      </c>
      <c r="I26" s="134">
        <v>0</v>
      </c>
      <c r="J26" s="136">
        <v>0</v>
      </c>
      <c r="K26" s="137"/>
      <c r="L26" s="627"/>
      <c r="M26" s="339"/>
      <c r="N26" s="1"/>
    </row>
    <row r="27" spans="1:14" ht="13.5" thickBot="1">
      <c r="A27" s="711"/>
      <c r="B27" s="725" t="s">
        <v>92</v>
      </c>
      <c r="C27" s="209" t="s">
        <v>14</v>
      </c>
      <c r="D27" s="732">
        <v>148000000</v>
      </c>
      <c r="E27" s="282">
        <f t="shared" si="0"/>
        <v>0</v>
      </c>
      <c r="F27" s="128">
        <v>0</v>
      </c>
      <c r="G27" s="128">
        <v>0</v>
      </c>
      <c r="H27" s="128">
        <v>0</v>
      </c>
      <c r="I27" s="127">
        <v>0</v>
      </c>
      <c r="J27" s="139">
        <v>0</v>
      </c>
      <c r="K27" s="667" t="s">
        <v>129</v>
      </c>
      <c r="L27" s="627"/>
      <c r="M27" s="339"/>
      <c r="N27" s="1"/>
    </row>
    <row r="28" spans="1:14" ht="13.5" thickBot="1">
      <c r="A28" s="711"/>
      <c r="B28" s="726"/>
      <c r="C28" s="210" t="s">
        <v>16</v>
      </c>
      <c r="D28" s="732"/>
      <c r="E28" s="283">
        <f t="shared" si="0"/>
        <v>0</v>
      </c>
      <c r="F28" s="131">
        <v>0</v>
      </c>
      <c r="G28" s="131">
        <v>0</v>
      </c>
      <c r="H28" s="131">
        <v>0</v>
      </c>
      <c r="I28" s="141">
        <v>0</v>
      </c>
      <c r="J28" s="132">
        <v>0</v>
      </c>
      <c r="K28" s="733"/>
      <c r="L28" s="627"/>
      <c r="M28" s="339"/>
      <c r="N28" s="1"/>
    </row>
    <row r="29" spans="1:14" ht="32.25" customHeight="1" thickBot="1">
      <c r="A29" s="711"/>
      <c r="B29" s="727"/>
      <c r="C29" s="210" t="s">
        <v>17</v>
      </c>
      <c r="D29" s="732"/>
      <c r="E29" s="284">
        <f t="shared" si="0"/>
        <v>0</v>
      </c>
      <c r="F29" s="134">
        <v>0</v>
      </c>
      <c r="G29" s="134">
        <v>0</v>
      </c>
      <c r="H29" s="134">
        <v>0</v>
      </c>
      <c r="I29" s="134">
        <v>0</v>
      </c>
      <c r="J29" s="136">
        <v>0</v>
      </c>
      <c r="K29" s="734"/>
      <c r="L29" s="627"/>
      <c r="M29" s="339"/>
      <c r="N29" s="1"/>
    </row>
    <row r="30" spans="1:14" s="10" customFormat="1" ht="12.75" customHeight="1" thickBot="1">
      <c r="A30" s="669">
        <v>3</v>
      </c>
      <c r="B30" s="680" t="s">
        <v>21</v>
      </c>
      <c r="C30" s="203" t="s">
        <v>14</v>
      </c>
      <c r="D30" s="681">
        <f>E30+E31+E32</f>
        <v>49768975.98</v>
      </c>
      <c r="E30" s="279">
        <f t="shared" si="0"/>
        <v>0</v>
      </c>
      <c r="F30" s="115">
        <v>0</v>
      </c>
      <c r="G30" s="115">
        <v>0</v>
      </c>
      <c r="H30" s="115">
        <v>0</v>
      </c>
      <c r="I30" s="115">
        <v>0</v>
      </c>
      <c r="J30" s="117">
        <v>0</v>
      </c>
      <c r="K30" s="118"/>
      <c r="L30" s="627"/>
      <c r="M30" s="339"/>
      <c r="N30" s="9"/>
    </row>
    <row r="31" spans="1:14" s="10" customFormat="1" ht="12.75" customHeight="1" thickBot="1">
      <c r="A31" s="669"/>
      <c r="B31" s="680"/>
      <c r="C31" s="205" t="s">
        <v>16</v>
      </c>
      <c r="D31" s="681"/>
      <c r="E31" s="285">
        <f t="shared" si="0"/>
        <v>0</v>
      </c>
      <c r="F31" s="119">
        <v>0</v>
      </c>
      <c r="G31" s="119">
        <v>0</v>
      </c>
      <c r="H31" s="119">
        <v>0</v>
      </c>
      <c r="I31" s="119">
        <v>0</v>
      </c>
      <c r="J31" s="121">
        <v>0</v>
      </c>
      <c r="K31" s="122"/>
      <c r="L31" s="627"/>
      <c r="M31" s="339"/>
      <c r="N31" s="9"/>
    </row>
    <row r="32" spans="1:14" s="10" customFormat="1" ht="13.5" customHeight="1" thickBot="1">
      <c r="A32" s="669"/>
      <c r="B32" s="680"/>
      <c r="C32" s="207" t="s">
        <v>17</v>
      </c>
      <c r="D32" s="681"/>
      <c r="E32" s="281">
        <f t="shared" si="0"/>
        <v>49768975.98</v>
      </c>
      <c r="F32" s="123">
        <v>0</v>
      </c>
      <c r="G32" s="123">
        <v>49768975.98</v>
      </c>
      <c r="H32" s="123">
        <v>0</v>
      </c>
      <c r="I32" s="123">
        <v>0</v>
      </c>
      <c r="J32" s="125">
        <v>0</v>
      </c>
      <c r="K32" s="126"/>
      <c r="L32" s="627"/>
      <c r="M32" s="339"/>
      <c r="N32" s="9"/>
    </row>
    <row r="33" spans="1:14" s="10" customFormat="1" ht="13.5" customHeight="1" thickBot="1">
      <c r="A33" s="669">
        <v>4</v>
      </c>
      <c r="B33" s="680" t="s">
        <v>84</v>
      </c>
      <c r="C33" s="203" t="s">
        <v>14</v>
      </c>
      <c r="D33" s="681">
        <f>G33</f>
        <v>1756768.66</v>
      </c>
      <c r="E33" s="279">
        <f t="shared" si="0"/>
        <v>1756768.66</v>
      </c>
      <c r="F33" s="115">
        <v>0</v>
      </c>
      <c r="G33" s="119">
        <v>1756768.66</v>
      </c>
      <c r="H33" s="115">
        <v>0</v>
      </c>
      <c r="I33" s="115">
        <v>0</v>
      </c>
      <c r="J33" s="117">
        <v>0</v>
      </c>
      <c r="K33" s="118"/>
      <c r="L33" s="627"/>
      <c r="M33" s="339"/>
      <c r="N33" s="9"/>
    </row>
    <row r="34" spans="1:14" s="10" customFormat="1" ht="13.5" thickBot="1">
      <c r="A34" s="669"/>
      <c r="B34" s="680"/>
      <c r="C34" s="205" t="s">
        <v>16</v>
      </c>
      <c r="D34" s="681"/>
      <c r="E34" s="280">
        <f t="shared" si="0"/>
        <v>0</v>
      </c>
      <c r="F34" s="119">
        <f>SUM(G34:L34)</f>
        <v>0</v>
      </c>
      <c r="G34" s="119">
        <v>0</v>
      </c>
      <c r="H34" s="119">
        <v>0</v>
      </c>
      <c r="I34" s="119">
        <v>0</v>
      </c>
      <c r="J34" s="121">
        <v>0</v>
      </c>
      <c r="K34" s="122"/>
      <c r="L34" s="627"/>
      <c r="M34" s="339"/>
      <c r="N34" s="9"/>
    </row>
    <row r="35" spans="1:14" s="10" customFormat="1" ht="13.5" thickBot="1">
      <c r="A35" s="669"/>
      <c r="B35" s="680"/>
      <c r="C35" s="207" t="s">
        <v>17</v>
      </c>
      <c r="D35" s="681"/>
      <c r="E35" s="281">
        <f t="shared" si="0"/>
        <v>0</v>
      </c>
      <c r="F35" s="123">
        <v>0</v>
      </c>
      <c r="G35" s="123">
        <v>0</v>
      </c>
      <c r="H35" s="123">
        <v>0</v>
      </c>
      <c r="I35" s="123">
        <v>0</v>
      </c>
      <c r="J35" s="125">
        <v>0</v>
      </c>
      <c r="K35" s="126"/>
      <c r="L35" s="627"/>
      <c r="M35" s="339"/>
      <c r="N35" s="264"/>
    </row>
    <row r="36" spans="1:14" s="10" customFormat="1" ht="13.5" customHeight="1" thickBot="1">
      <c r="A36" s="669">
        <v>5</v>
      </c>
      <c r="B36" s="680" t="s">
        <v>22</v>
      </c>
      <c r="C36" s="203" t="s">
        <v>14</v>
      </c>
      <c r="D36" s="681">
        <f>E36+E37+E38</f>
        <v>855064.1799999999</v>
      </c>
      <c r="E36" s="279">
        <f t="shared" si="0"/>
        <v>301419.48000000004</v>
      </c>
      <c r="F36" s="115">
        <f aca="true" t="shared" si="3" ref="F36:J38">F39+F42</f>
        <v>0</v>
      </c>
      <c r="G36" s="115">
        <f>G39+G42+G45</f>
        <v>0</v>
      </c>
      <c r="H36" s="115">
        <f>H39+H42+H45</f>
        <v>12393.46</v>
      </c>
      <c r="I36" s="115">
        <f>I39+I42+I45</f>
        <v>289026.02</v>
      </c>
      <c r="J36" s="117">
        <f>J39+J42+J45</f>
        <v>0</v>
      </c>
      <c r="K36" s="118"/>
      <c r="L36" s="627"/>
      <c r="M36" s="339"/>
      <c r="N36" s="9"/>
    </row>
    <row r="37" spans="1:14" s="10" customFormat="1" ht="13.5" thickBot="1">
      <c r="A37" s="669"/>
      <c r="B37" s="680"/>
      <c r="C37" s="205" t="s">
        <v>16</v>
      </c>
      <c r="D37" s="681"/>
      <c r="E37" s="280">
        <f t="shared" si="0"/>
        <v>553644.7</v>
      </c>
      <c r="F37" s="119">
        <f t="shared" si="3"/>
        <v>0</v>
      </c>
      <c r="G37" s="119">
        <f t="shared" si="3"/>
        <v>318168.96</v>
      </c>
      <c r="H37" s="119">
        <f>H40+H43+H46</f>
        <v>235475.74</v>
      </c>
      <c r="I37" s="119">
        <f t="shared" si="3"/>
        <v>0</v>
      </c>
      <c r="J37" s="121">
        <f t="shared" si="3"/>
        <v>0</v>
      </c>
      <c r="K37" s="122"/>
      <c r="L37" s="627"/>
      <c r="M37" s="339"/>
      <c r="N37" s="9"/>
    </row>
    <row r="38" spans="1:15" s="10" customFormat="1" ht="13.5" thickBot="1">
      <c r="A38" s="669"/>
      <c r="B38" s="680"/>
      <c r="C38" s="207" t="s">
        <v>17</v>
      </c>
      <c r="D38" s="681"/>
      <c r="E38" s="281">
        <f t="shared" si="0"/>
        <v>0</v>
      </c>
      <c r="F38" s="123">
        <f t="shared" si="3"/>
        <v>0</v>
      </c>
      <c r="G38" s="123">
        <f t="shared" si="3"/>
        <v>0</v>
      </c>
      <c r="H38" s="123">
        <v>0</v>
      </c>
      <c r="I38" s="123">
        <f t="shared" si="3"/>
        <v>0</v>
      </c>
      <c r="J38" s="125">
        <f t="shared" si="3"/>
        <v>0</v>
      </c>
      <c r="K38" s="126"/>
      <c r="L38" s="627"/>
      <c r="M38" s="339"/>
      <c r="N38" s="9"/>
      <c r="O38" s="278"/>
    </row>
    <row r="39" spans="1:15" s="10" customFormat="1" ht="13.5" customHeight="1" thickBot="1">
      <c r="A39" s="677"/>
      <c r="B39" s="678" t="s">
        <v>113</v>
      </c>
      <c r="C39" s="212" t="s">
        <v>14</v>
      </c>
      <c r="D39" s="738">
        <f>H39+H40</f>
        <v>0</v>
      </c>
      <c r="E39" s="286">
        <f t="shared" si="0"/>
        <v>289026.02</v>
      </c>
      <c r="F39" s="142">
        <v>0</v>
      </c>
      <c r="G39" s="142">
        <v>0</v>
      </c>
      <c r="H39" s="142">
        <v>0</v>
      </c>
      <c r="I39" s="142">
        <v>289026.02</v>
      </c>
      <c r="J39" s="143">
        <v>0</v>
      </c>
      <c r="K39" s="744"/>
      <c r="L39" s="627"/>
      <c r="M39" s="339"/>
      <c r="N39" s="264"/>
      <c r="O39" s="278"/>
    </row>
    <row r="40" spans="1:14" s="10" customFormat="1" ht="13.5" thickBot="1">
      <c r="A40" s="677"/>
      <c r="B40" s="678"/>
      <c r="C40" s="213" t="s">
        <v>16</v>
      </c>
      <c r="D40" s="738"/>
      <c r="E40" s="287">
        <f t="shared" si="0"/>
        <v>0</v>
      </c>
      <c r="F40" s="145">
        <v>0</v>
      </c>
      <c r="G40" s="145">
        <v>0</v>
      </c>
      <c r="H40" s="145">
        <v>0</v>
      </c>
      <c r="I40" s="145">
        <v>0</v>
      </c>
      <c r="J40" s="146">
        <v>0</v>
      </c>
      <c r="K40" s="745"/>
      <c r="L40" s="627"/>
      <c r="M40" s="339"/>
      <c r="N40" s="9"/>
    </row>
    <row r="41" spans="1:15" s="10" customFormat="1" ht="13.5" thickBot="1">
      <c r="A41" s="677"/>
      <c r="B41" s="678"/>
      <c r="C41" s="214" t="s">
        <v>17</v>
      </c>
      <c r="D41" s="738"/>
      <c r="E41" s="288">
        <f t="shared" si="0"/>
        <v>0</v>
      </c>
      <c r="F41" s="148">
        <v>0</v>
      </c>
      <c r="G41" s="148">
        <v>0</v>
      </c>
      <c r="H41" s="148">
        <v>0</v>
      </c>
      <c r="I41" s="148">
        <v>0</v>
      </c>
      <c r="J41" s="149">
        <v>0</v>
      </c>
      <c r="K41" s="746"/>
      <c r="L41" s="627"/>
      <c r="M41" s="339"/>
      <c r="N41" s="327"/>
      <c r="O41" s="328"/>
    </row>
    <row r="42" spans="1:15" s="10" customFormat="1" ht="13.5" customHeight="1" thickBot="1">
      <c r="A42" s="677"/>
      <c r="B42" s="678" t="s">
        <v>112</v>
      </c>
      <c r="C42" s="212" t="s">
        <v>14</v>
      </c>
      <c r="D42" s="738">
        <f>E42+E43+E44</f>
        <v>318168.96</v>
      </c>
      <c r="E42" s="286">
        <f t="shared" si="0"/>
        <v>0</v>
      </c>
      <c r="F42" s="142">
        <v>0</v>
      </c>
      <c r="G42" s="142">
        <v>0</v>
      </c>
      <c r="H42" s="142">
        <v>0</v>
      </c>
      <c r="I42" s="142">
        <v>0</v>
      </c>
      <c r="J42" s="143">
        <v>0</v>
      </c>
      <c r="K42" s="144"/>
      <c r="L42" s="627"/>
      <c r="M42" s="380"/>
      <c r="N42" s="327"/>
      <c r="O42" s="329"/>
    </row>
    <row r="43" spans="1:15" s="10" customFormat="1" ht="13.5" thickBot="1">
      <c r="A43" s="677"/>
      <c r="B43" s="678"/>
      <c r="C43" s="213" t="s">
        <v>16</v>
      </c>
      <c r="D43" s="738"/>
      <c r="E43" s="287">
        <f t="shared" si="0"/>
        <v>318168.96</v>
      </c>
      <c r="F43" s="145">
        <v>0</v>
      </c>
      <c r="G43" s="145">
        <f>379349.96-G88</f>
        <v>318168.96</v>
      </c>
      <c r="H43" s="145">
        <v>0</v>
      </c>
      <c r="I43" s="145">
        <v>0</v>
      </c>
      <c r="J43" s="146">
        <v>0</v>
      </c>
      <c r="K43" s="147"/>
      <c r="L43" s="627"/>
      <c r="M43" s="380"/>
      <c r="N43" s="330"/>
      <c r="O43" s="329"/>
    </row>
    <row r="44" spans="1:15" s="10" customFormat="1" ht="13.5" thickBot="1">
      <c r="A44" s="677"/>
      <c r="B44" s="678"/>
      <c r="C44" s="214" t="s">
        <v>17</v>
      </c>
      <c r="D44" s="738"/>
      <c r="E44" s="288">
        <f t="shared" si="0"/>
        <v>0</v>
      </c>
      <c r="F44" s="148">
        <v>0</v>
      </c>
      <c r="G44" s="148">
        <v>0</v>
      </c>
      <c r="H44" s="148">
        <v>0</v>
      </c>
      <c r="I44" s="148">
        <v>0</v>
      </c>
      <c r="J44" s="149">
        <v>0</v>
      </c>
      <c r="K44" s="150"/>
      <c r="L44" s="627"/>
      <c r="M44" s="380"/>
      <c r="N44" s="327"/>
      <c r="O44" s="329"/>
    </row>
    <row r="45" spans="1:15" s="10" customFormat="1" ht="13.5" thickBot="1">
      <c r="A45" s="677"/>
      <c r="B45" s="678" t="s">
        <v>116</v>
      </c>
      <c r="C45" s="212" t="s">
        <v>14</v>
      </c>
      <c r="D45" s="738">
        <f>H45+H46</f>
        <v>247869.19999999998</v>
      </c>
      <c r="E45" s="365">
        <f>SUM(F45:J45)</f>
        <v>12393.46</v>
      </c>
      <c r="F45" s="142">
        <v>0</v>
      </c>
      <c r="G45" s="142">
        <v>0</v>
      </c>
      <c r="H45" s="142">
        <f>ROUND((242630+5239.2)*5/100,2)</f>
        <v>12393.46</v>
      </c>
      <c r="I45" s="142">
        <v>0</v>
      </c>
      <c r="J45" s="143">
        <v>0</v>
      </c>
      <c r="K45" s="144"/>
      <c r="L45" s="627"/>
      <c r="M45" s="381"/>
      <c r="N45" s="330"/>
      <c r="O45" s="329"/>
    </row>
    <row r="46" spans="1:15" s="10" customFormat="1" ht="13.5" thickBot="1">
      <c r="A46" s="677"/>
      <c r="B46" s="678"/>
      <c r="C46" s="213" t="s">
        <v>16</v>
      </c>
      <c r="D46" s="738"/>
      <c r="E46" s="366">
        <f>SUM(F46:J46)</f>
        <v>235475.74</v>
      </c>
      <c r="F46" s="145">
        <v>0</v>
      </c>
      <c r="G46" s="145">
        <v>0</v>
      </c>
      <c r="H46" s="145">
        <f>ROUND((242630+5239.2)*95/100,2)</f>
        <v>235475.74</v>
      </c>
      <c r="I46" s="145">
        <v>0</v>
      </c>
      <c r="J46" s="146">
        <v>0</v>
      </c>
      <c r="K46" s="147"/>
      <c r="L46" s="627"/>
      <c r="M46" s="381"/>
      <c r="N46" s="330"/>
      <c r="O46" s="329"/>
    </row>
    <row r="47" spans="1:14" s="10" customFormat="1" ht="12.75" customHeight="1" thickBot="1">
      <c r="A47" s="677"/>
      <c r="B47" s="678"/>
      <c r="C47" s="214" t="s">
        <v>17</v>
      </c>
      <c r="D47" s="738"/>
      <c r="E47" s="367">
        <f>SUM(F47:J47)</f>
        <v>0</v>
      </c>
      <c r="F47" s="148">
        <v>0</v>
      </c>
      <c r="G47" s="148">
        <v>0</v>
      </c>
      <c r="H47" s="148">
        <v>0</v>
      </c>
      <c r="I47" s="148">
        <v>0</v>
      </c>
      <c r="J47" s="149">
        <v>0</v>
      </c>
      <c r="K47" s="150"/>
      <c r="L47" s="627"/>
      <c r="M47" s="380"/>
      <c r="N47" s="9"/>
    </row>
    <row r="48" spans="1:14" s="10" customFormat="1" ht="12.75" customHeight="1" hidden="1">
      <c r="A48" s="669">
        <v>6</v>
      </c>
      <c r="B48" s="680" t="s">
        <v>86</v>
      </c>
      <c r="C48" s="203" t="s">
        <v>14</v>
      </c>
      <c r="D48" s="681">
        <f>E48+E49+E50</f>
        <v>0</v>
      </c>
      <c r="E48" s="279">
        <f t="shared" si="0"/>
        <v>0</v>
      </c>
      <c r="F48" s="116">
        <v>0</v>
      </c>
      <c r="G48" s="115">
        <v>0</v>
      </c>
      <c r="H48" s="115">
        <v>0</v>
      </c>
      <c r="I48" s="115">
        <v>0</v>
      </c>
      <c r="J48" s="117">
        <v>0</v>
      </c>
      <c r="K48" s="118"/>
      <c r="L48" s="627"/>
      <c r="M48" s="339"/>
      <c r="N48" s="9"/>
    </row>
    <row r="49" spans="1:14" s="10" customFormat="1" ht="12" customHeight="1" hidden="1">
      <c r="A49" s="669"/>
      <c r="B49" s="680"/>
      <c r="C49" s="205" t="s">
        <v>16</v>
      </c>
      <c r="D49" s="681"/>
      <c r="E49" s="280">
        <f t="shared" si="0"/>
        <v>0</v>
      </c>
      <c r="F49" s="120">
        <v>0</v>
      </c>
      <c r="G49" s="119">
        <v>0</v>
      </c>
      <c r="H49" s="119">
        <v>0</v>
      </c>
      <c r="I49" s="119">
        <v>0</v>
      </c>
      <c r="J49" s="121">
        <v>0</v>
      </c>
      <c r="K49" s="122"/>
      <c r="L49" s="627"/>
      <c r="M49" s="339"/>
      <c r="N49" s="9"/>
    </row>
    <row r="50" spans="1:14" s="10" customFormat="1" ht="12.75" customHeight="1" hidden="1">
      <c r="A50" s="669"/>
      <c r="B50" s="680"/>
      <c r="C50" s="207" t="s">
        <v>17</v>
      </c>
      <c r="D50" s="681"/>
      <c r="E50" s="281">
        <f t="shared" si="0"/>
        <v>0</v>
      </c>
      <c r="F50" s="236">
        <v>0</v>
      </c>
      <c r="G50" s="236"/>
      <c r="H50" s="123">
        <v>0</v>
      </c>
      <c r="I50" s="123">
        <v>0</v>
      </c>
      <c r="J50" s="125">
        <v>0</v>
      </c>
      <c r="K50" s="126"/>
      <c r="L50" s="627"/>
      <c r="M50" s="339"/>
      <c r="N50" s="9"/>
    </row>
    <row r="51" spans="1:15" ht="12.75" customHeight="1" thickBot="1">
      <c r="A51" s="669" t="s">
        <v>158</v>
      </c>
      <c r="B51" s="680" t="s">
        <v>82</v>
      </c>
      <c r="C51" s="203" t="s">
        <v>25</v>
      </c>
      <c r="D51" s="151"/>
      <c r="E51" s="289">
        <f t="shared" si="0"/>
        <v>2342501.01</v>
      </c>
      <c r="F51" s="256">
        <f>2342501.01</f>
        <v>2342501.01</v>
      </c>
      <c r="G51" s="256">
        <v>0</v>
      </c>
      <c r="H51" s="267">
        <v>0</v>
      </c>
      <c r="I51" s="115">
        <v>0</v>
      </c>
      <c r="J51" s="117">
        <v>0</v>
      </c>
      <c r="K51" s="118"/>
      <c r="L51" s="627"/>
      <c r="M51" s="339"/>
      <c r="N51" s="9"/>
      <c r="O51" s="1"/>
    </row>
    <row r="52" spans="1:15" ht="15.75" customHeight="1" thickBot="1">
      <c r="A52" s="669"/>
      <c r="B52" s="680"/>
      <c r="C52" s="205" t="s">
        <v>16</v>
      </c>
      <c r="D52" s="152">
        <f>E51+E52+E53</f>
        <v>2342501.01</v>
      </c>
      <c r="E52" s="290">
        <f t="shared" si="0"/>
        <v>0</v>
      </c>
      <c r="F52" s="270">
        <v>0</v>
      </c>
      <c r="G52" s="258">
        <v>0</v>
      </c>
      <c r="H52" s="268">
        <v>0</v>
      </c>
      <c r="I52" s="119">
        <v>0</v>
      </c>
      <c r="J52" s="121">
        <v>0</v>
      </c>
      <c r="K52" s="122"/>
      <c r="L52" s="627"/>
      <c r="M52" s="339"/>
      <c r="N52" s="44"/>
      <c r="O52" s="1"/>
    </row>
    <row r="53" spans="1:15" ht="13.5" thickBot="1">
      <c r="A53" s="669"/>
      <c r="B53" s="680"/>
      <c r="C53" s="239" t="s">
        <v>17</v>
      </c>
      <c r="D53" s="235"/>
      <c r="E53" s="291">
        <f t="shared" si="0"/>
        <v>0</v>
      </c>
      <c r="F53" s="271">
        <v>0</v>
      </c>
      <c r="G53" s="260">
        <v>0</v>
      </c>
      <c r="H53" s="269">
        <v>0</v>
      </c>
      <c r="I53" s="240">
        <v>0</v>
      </c>
      <c r="J53" s="247">
        <v>0</v>
      </c>
      <c r="K53" s="126"/>
      <c r="L53" s="627"/>
      <c r="M53" s="339"/>
      <c r="N53" s="44"/>
      <c r="O53" s="1"/>
    </row>
    <row r="54" spans="1:14" s="56" customFormat="1" ht="13.5" customHeight="1" thickBot="1">
      <c r="A54" s="669" t="s">
        <v>159</v>
      </c>
      <c r="B54" s="679" t="s">
        <v>83</v>
      </c>
      <c r="C54" s="244" t="s">
        <v>25</v>
      </c>
      <c r="D54" s="739">
        <f>E54+E55+E56</f>
        <v>4311271.74</v>
      </c>
      <c r="E54" s="292">
        <f t="shared" si="0"/>
        <v>4311271.74</v>
      </c>
      <c r="F54" s="256">
        <f>4141866.08+169405.66</f>
        <v>4311271.74</v>
      </c>
      <c r="G54" s="248">
        <v>0</v>
      </c>
      <c r="H54" s="248">
        <v>0</v>
      </c>
      <c r="I54" s="248">
        <v>0</v>
      </c>
      <c r="J54" s="250">
        <v>0</v>
      </c>
      <c r="K54" s="153"/>
      <c r="L54" s="627"/>
      <c r="M54" s="339"/>
      <c r="N54" s="55"/>
    </row>
    <row r="55" spans="1:14" s="56" customFormat="1" ht="13.5" thickBot="1">
      <c r="A55" s="669"/>
      <c r="B55" s="679"/>
      <c r="C55" s="245" t="s">
        <v>16</v>
      </c>
      <c r="D55" s="740"/>
      <c r="E55" s="290">
        <f t="shared" si="0"/>
        <v>0</v>
      </c>
      <c r="F55" s="270">
        <v>0</v>
      </c>
      <c r="G55" s="120">
        <v>0</v>
      </c>
      <c r="H55" s="120">
        <v>0</v>
      </c>
      <c r="I55" s="120">
        <v>0</v>
      </c>
      <c r="J55" s="251">
        <v>0</v>
      </c>
      <c r="K55" s="155"/>
      <c r="L55" s="627"/>
      <c r="M55" s="339"/>
      <c r="N55" s="55"/>
    </row>
    <row r="56" spans="1:14" s="56" customFormat="1" ht="13.5" thickBot="1">
      <c r="A56" s="669"/>
      <c r="B56" s="679"/>
      <c r="C56" s="246" t="s">
        <v>17</v>
      </c>
      <c r="D56" s="741"/>
      <c r="E56" s="293">
        <f t="shared" si="0"/>
        <v>0</v>
      </c>
      <c r="F56" s="275">
        <v>0</v>
      </c>
      <c r="G56" s="252">
        <v>0</v>
      </c>
      <c r="H56" s="252">
        <v>0</v>
      </c>
      <c r="I56" s="252">
        <v>0</v>
      </c>
      <c r="J56" s="254">
        <v>0</v>
      </c>
      <c r="K56" s="238"/>
      <c r="L56" s="627"/>
      <c r="M56" s="339"/>
      <c r="N56" s="55"/>
    </row>
    <row r="57" spans="1:14" s="56" customFormat="1" ht="13.5" thickBot="1">
      <c r="A57" s="669" t="s">
        <v>160</v>
      </c>
      <c r="B57" s="679" t="s">
        <v>80</v>
      </c>
      <c r="C57" s="255" t="s">
        <v>14</v>
      </c>
      <c r="D57" s="742">
        <f>E57+E58+E59</f>
        <v>1979233.93</v>
      </c>
      <c r="E57" s="292">
        <f t="shared" si="0"/>
        <v>1979233.93</v>
      </c>
      <c r="F57" s="274">
        <v>0</v>
      </c>
      <c r="G57" s="248">
        <v>1979233.93</v>
      </c>
      <c r="H57" s="249">
        <v>0</v>
      </c>
      <c r="I57" s="249">
        <v>0</v>
      </c>
      <c r="J57" s="256">
        <v>0</v>
      </c>
      <c r="K57" s="122"/>
      <c r="L57" s="627"/>
      <c r="M57" s="339"/>
      <c r="N57" s="265"/>
    </row>
    <row r="58" spans="1:14" s="56" customFormat="1" ht="13.5" thickBot="1">
      <c r="A58" s="669"/>
      <c r="B58" s="679"/>
      <c r="C58" s="257" t="s">
        <v>16</v>
      </c>
      <c r="D58" s="681"/>
      <c r="E58" s="290">
        <f t="shared" si="0"/>
        <v>0</v>
      </c>
      <c r="F58" s="270">
        <v>0</v>
      </c>
      <c r="G58" s="120">
        <v>0</v>
      </c>
      <c r="H58" s="119">
        <v>0</v>
      </c>
      <c r="I58" s="119">
        <v>0</v>
      </c>
      <c r="J58" s="258">
        <v>0</v>
      </c>
      <c r="K58" s="122"/>
      <c r="L58" s="627"/>
      <c r="M58" s="339"/>
      <c r="N58" s="265"/>
    </row>
    <row r="59" spans="1:14" s="56" customFormat="1" ht="13.5" thickBot="1">
      <c r="A59" s="669"/>
      <c r="B59" s="679"/>
      <c r="C59" s="259" t="s">
        <v>17</v>
      </c>
      <c r="D59" s="743"/>
      <c r="E59" s="293">
        <f t="shared" si="0"/>
        <v>0</v>
      </c>
      <c r="F59" s="275">
        <v>0</v>
      </c>
      <c r="G59" s="252">
        <v>0</v>
      </c>
      <c r="H59" s="253">
        <v>0</v>
      </c>
      <c r="I59" s="253">
        <v>0</v>
      </c>
      <c r="J59" s="260">
        <v>0</v>
      </c>
      <c r="K59" s="126"/>
      <c r="L59" s="627"/>
      <c r="M59" s="339"/>
      <c r="N59" s="55"/>
    </row>
    <row r="60" spans="1:14" s="56" customFormat="1" ht="13.5" customHeight="1" thickBot="1">
      <c r="A60" s="669" t="s">
        <v>161</v>
      </c>
      <c r="B60" s="680" t="s">
        <v>195</v>
      </c>
      <c r="C60" s="241" t="s">
        <v>14</v>
      </c>
      <c r="D60" s="689">
        <f>E60+E61+E62</f>
        <v>988741.18</v>
      </c>
      <c r="E60" s="294">
        <f t="shared" si="0"/>
        <v>988741.18</v>
      </c>
      <c r="F60" s="274">
        <v>0</v>
      </c>
      <c r="G60" s="248">
        <v>988741.18</v>
      </c>
      <c r="H60" s="249">
        <v>0</v>
      </c>
      <c r="I60" s="249">
        <v>0</v>
      </c>
      <c r="J60" s="256">
        <v>0</v>
      </c>
      <c r="K60" s="118"/>
      <c r="L60" s="627"/>
      <c r="M60" s="339"/>
      <c r="N60" s="55"/>
    </row>
    <row r="61" spans="1:14" s="56" customFormat="1" ht="13.5" thickBot="1">
      <c r="A61" s="669"/>
      <c r="B61" s="680"/>
      <c r="C61" s="205" t="s">
        <v>16</v>
      </c>
      <c r="D61" s="681"/>
      <c r="E61" s="290">
        <f t="shared" si="0"/>
        <v>0</v>
      </c>
      <c r="F61" s="270">
        <v>0</v>
      </c>
      <c r="G61" s="120">
        <v>0</v>
      </c>
      <c r="H61" s="119">
        <v>0</v>
      </c>
      <c r="I61" s="119">
        <v>0</v>
      </c>
      <c r="J61" s="258">
        <v>0</v>
      </c>
      <c r="K61" s="122"/>
      <c r="L61" s="627"/>
      <c r="M61" s="339"/>
      <c r="N61" s="103"/>
    </row>
    <row r="62" spans="1:14" s="56" customFormat="1" ht="13.5" thickBot="1">
      <c r="A62" s="669"/>
      <c r="B62" s="680"/>
      <c r="C62" s="207" t="s">
        <v>17</v>
      </c>
      <c r="D62" s="681"/>
      <c r="E62" s="295">
        <f t="shared" si="0"/>
        <v>0</v>
      </c>
      <c r="F62" s="275">
        <v>0</v>
      </c>
      <c r="G62" s="252">
        <v>0</v>
      </c>
      <c r="H62" s="253">
        <v>0</v>
      </c>
      <c r="I62" s="253">
        <v>0</v>
      </c>
      <c r="J62" s="260">
        <v>0</v>
      </c>
      <c r="K62" s="126"/>
      <c r="L62" s="627"/>
      <c r="M62" s="339"/>
      <c r="N62" s="103"/>
    </row>
    <row r="63" spans="1:14" s="56" customFormat="1" ht="13.5" customHeight="1" thickBot="1">
      <c r="A63" s="669" t="s">
        <v>162</v>
      </c>
      <c r="B63" s="680" t="s">
        <v>88</v>
      </c>
      <c r="C63" s="203" t="s">
        <v>14</v>
      </c>
      <c r="D63" s="681">
        <f>E63+E64+E65</f>
        <v>610513.12</v>
      </c>
      <c r="E63" s="290">
        <f t="shared" si="0"/>
        <v>610513.12</v>
      </c>
      <c r="F63" s="274">
        <v>0</v>
      </c>
      <c r="G63" s="248">
        <v>610513.12</v>
      </c>
      <c r="H63" s="249">
        <v>0</v>
      </c>
      <c r="I63" s="249">
        <v>0</v>
      </c>
      <c r="J63" s="256">
        <v>0</v>
      </c>
      <c r="K63" s="118"/>
      <c r="L63" s="627"/>
      <c r="M63" s="339"/>
      <c r="N63" s="55"/>
    </row>
    <row r="64" spans="1:14" s="56" customFormat="1" ht="13.5" thickBot="1">
      <c r="A64" s="669"/>
      <c r="B64" s="680"/>
      <c r="C64" s="205" t="s">
        <v>16</v>
      </c>
      <c r="D64" s="681"/>
      <c r="E64" s="290">
        <f t="shared" si="0"/>
        <v>0</v>
      </c>
      <c r="F64" s="270">
        <v>0</v>
      </c>
      <c r="G64" s="120">
        <v>0</v>
      </c>
      <c r="H64" s="119">
        <v>0</v>
      </c>
      <c r="I64" s="119">
        <v>0</v>
      </c>
      <c r="J64" s="258">
        <v>0</v>
      </c>
      <c r="K64" s="122"/>
      <c r="L64" s="627"/>
      <c r="M64" s="339"/>
      <c r="N64" s="55"/>
    </row>
    <row r="65" spans="1:14" s="56" customFormat="1" ht="13.5" thickBot="1">
      <c r="A65" s="669"/>
      <c r="B65" s="680"/>
      <c r="C65" s="207" t="s">
        <v>17</v>
      </c>
      <c r="D65" s="681"/>
      <c r="E65" s="295">
        <f t="shared" si="0"/>
        <v>0</v>
      </c>
      <c r="F65" s="275">
        <v>0</v>
      </c>
      <c r="G65" s="252">
        <v>0</v>
      </c>
      <c r="H65" s="253">
        <v>0</v>
      </c>
      <c r="I65" s="253">
        <v>0</v>
      </c>
      <c r="J65" s="260">
        <v>0</v>
      </c>
      <c r="K65" s="126"/>
      <c r="L65" s="627"/>
      <c r="M65" s="339"/>
      <c r="N65" s="55"/>
    </row>
    <row r="66" spans="1:14" ht="12.75" customHeight="1" thickBot="1">
      <c r="A66" s="669" t="s">
        <v>163</v>
      </c>
      <c r="B66" s="680" t="s">
        <v>89</v>
      </c>
      <c r="C66" s="203" t="s">
        <v>14</v>
      </c>
      <c r="D66" s="681">
        <f>F66+G66</f>
        <v>13997774.51</v>
      </c>
      <c r="E66" s="290"/>
      <c r="F66" s="274">
        <f>8496339.34+417000</f>
        <v>8913339.34</v>
      </c>
      <c r="G66" s="248">
        <f>4667435.17+417000</f>
        <v>5084435.17</v>
      </c>
      <c r="H66" s="249">
        <v>0</v>
      </c>
      <c r="I66" s="249">
        <v>0</v>
      </c>
      <c r="J66" s="256">
        <v>0</v>
      </c>
      <c r="K66" s="118"/>
      <c r="L66" s="627"/>
      <c r="M66" s="339"/>
      <c r="N66" s="98"/>
    </row>
    <row r="67" spans="1:14" ht="13.5" thickBot="1">
      <c r="A67" s="669"/>
      <c r="B67" s="680"/>
      <c r="C67" s="205" t="s">
        <v>16</v>
      </c>
      <c r="D67" s="681"/>
      <c r="E67" s="290">
        <f>SUM(F67:I67)</f>
        <v>0</v>
      </c>
      <c r="F67" s="270">
        <v>0</v>
      </c>
      <c r="G67" s="120">
        <v>0</v>
      </c>
      <c r="H67" s="119">
        <v>0</v>
      </c>
      <c r="I67" s="119">
        <v>0</v>
      </c>
      <c r="J67" s="258">
        <v>0</v>
      </c>
      <c r="K67" s="122"/>
      <c r="L67" s="627"/>
      <c r="M67" s="339"/>
      <c r="N67" s="1"/>
    </row>
    <row r="68" spans="1:14" ht="13.5" thickBot="1">
      <c r="A68" s="669"/>
      <c r="B68" s="680"/>
      <c r="C68" s="207" t="s">
        <v>17</v>
      </c>
      <c r="D68" s="681"/>
      <c r="E68" s="295">
        <f>SUM(F68:I68)</f>
        <v>0</v>
      </c>
      <c r="F68" s="275">
        <v>0</v>
      </c>
      <c r="G68" s="252">
        <v>0</v>
      </c>
      <c r="H68" s="253">
        <v>0</v>
      </c>
      <c r="I68" s="253">
        <v>0</v>
      </c>
      <c r="J68" s="260">
        <v>0</v>
      </c>
      <c r="K68" s="126"/>
      <c r="L68" s="627"/>
      <c r="M68" s="339"/>
      <c r="N68" s="98"/>
    </row>
    <row r="69" spans="1:14" s="10" customFormat="1" ht="12.75" customHeight="1" thickBot="1">
      <c r="A69" s="669" t="s">
        <v>165</v>
      </c>
      <c r="B69" s="680" t="s">
        <v>115</v>
      </c>
      <c r="C69" s="203" t="s">
        <v>14</v>
      </c>
      <c r="D69" s="681">
        <f>E69+E70+E71</f>
        <v>211599.99</v>
      </c>
      <c r="E69" s="279">
        <f>SUM(F69:J69)</f>
        <v>211599.99</v>
      </c>
      <c r="F69" s="274">
        <v>211599.99</v>
      </c>
      <c r="G69" s="237">
        <v>0</v>
      </c>
      <c r="H69" s="242">
        <v>0</v>
      </c>
      <c r="I69" s="242">
        <v>0</v>
      </c>
      <c r="J69" s="243">
        <v>0</v>
      </c>
      <c r="K69" s="118"/>
      <c r="L69" s="627"/>
      <c r="M69" s="339"/>
      <c r="N69" s="9"/>
    </row>
    <row r="70" spans="1:14" s="10" customFormat="1" ht="12.75" customHeight="1" thickBot="1">
      <c r="A70" s="669"/>
      <c r="B70" s="680"/>
      <c r="C70" s="205" t="s">
        <v>16</v>
      </c>
      <c r="D70" s="681"/>
      <c r="E70" s="285">
        <f>SUM(F70:J70)</f>
        <v>0</v>
      </c>
      <c r="F70" s="120">
        <v>0</v>
      </c>
      <c r="G70" s="120">
        <v>0</v>
      </c>
      <c r="H70" s="119">
        <v>0</v>
      </c>
      <c r="I70" s="119">
        <v>0</v>
      </c>
      <c r="J70" s="121">
        <v>0</v>
      </c>
      <c r="K70" s="122"/>
      <c r="L70" s="627"/>
      <c r="M70" s="339"/>
      <c r="N70" s="9"/>
    </row>
    <row r="71" spans="1:14" s="10" customFormat="1" ht="13.5" customHeight="1" thickBot="1">
      <c r="A71" s="669"/>
      <c r="B71" s="680"/>
      <c r="C71" s="207" t="s">
        <v>17</v>
      </c>
      <c r="D71" s="681"/>
      <c r="E71" s="281">
        <f>SUM(F71:J71)</f>
        <v>0</v>
      </c>
      <c r="F71" s="123">
        <v>0</v>
      </c>
      <c r="G71" s="123">
        <v>0</v>
      </c>
      <c r="H71" s="123">
        <v>0</v>
      </c>
      <c r="I71" s="123">
        <v>0</v>
      </c>
      <c r="J71" s="125">
        <v>0</v>
      </c>
      <c r="K71" s="126"/>
      <c r="L71" s="627"/>
      <c r="M71" s="339"/>
      <c r="N71" s="9"/>
    </row>
    <row r="72" spans="1:14" ht="12.75" customHeight="1" thickBot="1">
      <c r="A72" s="669" t="s">
        <v>164</v>
      </c>
      <c r="B72" s="680" t="s">
        <v>127</v>
      </c>
      <c r="C72" s="203" t="s">
        <v>14</v>
      </c>
      <c r="D72" s="681">
        <f>E72+E73+E74</f>
        <v>107564000</v>
      </c>
      <c r="E72" s="280">
        <f>SUM(F72:J72)</f>
        <v>0</v>
      </c>
      <c r="F72" s="120">
        <f>SUM(G72:L72)</f>
        <v>0</v>
      </c>
      <c r="G72" s="120">
        <f>SUM(H72:N72)</f>
        <v>0</v>
      </c>
      <c r="H72" s="120">
        <f>SUM(I72:O72)</f>
        <v>0</v>
      </c>
      <c r="I72" s="120">
        <f>SUM(J72:P72)</f>
        <v>0</v>
      </c>
      <c r="J72" s="154">
        <f>SUM(L72:Q72)</f>
        <v>0</v>
      </c>
      <c r="K72" s="153"/>
      <c r="L72" s="627"/>
      <c r="M72" s="339"/>
      <c r="N72" s="1"/>
    </row>
    <row r="73" spans="1:14" ht="12.75" customHeight="1" thickBot="1">
      <c r="A73" s="669"/>
      <c r="B73" s="680"/>
      <c r="C73" s="205" t="s">
        <v>16</v>
      </c>
      <c r="D73" s="681"/>
      <c r="E73" s="280">
        <f>SUM(F73:I73)</f>
        <v>0</v>
      </c>
      <c r="F73" s="120">
        <f>SUM(G73:J73)</f>
        <v>0</v>
      </c>
      <c r="G73" s="120">
        <f>SUM(H73:L73)</f>
        <v>0</v>
      </c>
      <c r="H73" s="120">
        <f>SUM(I73:N73)</f>
        <v>0</v>
      </c>
      <c r="I73" s="120">
        <f>SUM(J73:O73)</f>
        <v>0</v>
      </c>
      <c r="J73" s="154">
        <f>SUM(L73:P73)</f>
        <v>0</v>
      </c>
      <c r="K73" s="155"/>
      <c r="L73" s="627"/>
      <c r="M73" s="339"/>
      <c r="N73" s="1"/>
    </row>
    <row r="74" spans="1:14" ht="12.75" customHeight="1" thickBot="1">
      <c r="A74" s="669"/>
      <c r="B74" s="680"/>
      <c r="C74" s="207" t="s">
        <v>17</v>
      </c>
      <c r="D74" s="681"/>
      <c r="E74" s="281">
        <f>SUM(F74:I74)</f>
        <v>107564000</v>
      </c>
      <c r="F74" s="124">
        <v>0</v>
      </c>
      <c r="G74" s="237">
        <v>30000000</v>
      </c>
      <c r="H74" s="124">
        <v>45000000</v>
      </c>
      <c r="I74" s="124">
        <f>107564000-H74-G74</f>
        <v>32564000</v>
      </c>
      <c r="J74" s="157"/>
      <c r="K74" s="156"/>
      <c r="L74" s="627"/>
      <c r="M74" s="339"/>
      <c r="N74" s="1"/>
    </row>
    <row r="75" spans="1:14" s="10" customFormat="1" ht="13.5" customHeight="1" thickBot="1">
      <c r="A75" s="669" t="s">
        <v>166</v>
      </c>
      <c r="B75" s="680" t="s">
        <v>137</v>
      </c>
      <c r="C75" s="203" t="s">
        <v>14</v>
      </c>
      <c r="D75" s="673">
        <v>6000000</v>
      </c>
      <c r="E75" s="279">
        <f aca="true" t="shared" si="4" ref="E75:E101">SUM(F75:J75)</f>
        <v>0</v>
      </c>
      <c r="F75" s="115">
        <f>F78+F81</f>
        <v>0</v>
      </c>
      <c r="G75" s="115">
        <f>G78+G81</f>
        <v>0</v>
      </c>
      <c r="H75" s="115">
        <f>H78+H81</f>
        <v>0</v>
      </c>
      <c r="I75" s="115">
        <f>I78+I81</f>
        <v>0</v>
      </c>
      <c r="J75" s="117">
        <f>J78+J81</f>
        <v>0</v>
      </c>
      <c r="K75" s="667" t="s">
        <v>136</v>
      </c>
      <c r="L75" s="627"/>
      <c r="M75" s="339"/>
      <c r="N75" s="9"/>
    </row>
    <row r="76" spans="1:14" s="10" customFormat="1" ht="13.5" customHeight="1" thickBot="1">
      <c r="A76" s="669"/>
      <c r="B76" s="680"/>
      <c r="C76" s="205" t="s">
        <v>16</v>
      </c>
      <c r="D76" s="673"/>
      <c r="E76" s="280">
        <f t="shared" si="4"/>
        <v>0</v>
      </c>
      <c r="F76" s="119">
        <v>0</v>
      </c>
      <c r="G76" s="119">
        <f aca="true" t="shared" si="5" ref="G76:J77">G79+G82</f>
        <v>0</v>
      </c>
      <c r="H76" s="119">
        <f t="shared" si="5"/>
        <v>0</v>
      </c>
      <c r="I76" s="119">
        <f t="shared" si="5"/>
        <v>0</v>
      </c>
      <c r="J76" s="121">
        <f t="shared" si="5"/>
        <v>0</v>
      </c>
      <c r="K76" s="668"/>
      <c r="L76" s="627"/>
      <c r="M76" s="339"/>
      <c r="N76" s="9"/>
    </row>
    <row r="77" spans="1:14" s="10" customFormat="1" ht="36.75" customHeight="1" thickBot="1">
      <c r="A77" s="669"/>
      <c r="B77" s="680"/>
      <c r="C77" s="207" t="s">
        <v>17</v>
      </c>
      <c r="D77" s="673"/>
      <c r="E77" s="281">
        <f t="shared" si="4"/>
        <v>0</v>
      </c>
      <c r="F77" s="119">
        <f>F80+F83</f>
        <v>0</v>
      </c>
      <c r="G77" s="119">
        <f t="shared" si="5"/>
        <v>0</v>
      </c>
      <c r="H77" s="123">
        <f t="shared" si="5"/>
        <v>0</v>
      </c>
      <c r="I77" s="123">
        <f t="shared" si="5"/>
        <v>0</v>
      </c>
      <c r="J77" s="125">
        <f t="shared" si="5"/>
        <v>0</v>
      </c>
      <c r="K77" s="668"/>
      <c r="L77" s="627"/>
      <c r="M77" s="339"/>
      <c r="N77" s="9"/>
    </row>
    <row r="78" spans="1:14" s="10" customFormat="1" ht="13.5" customHeight="1" hidden="1">
      <c r="A78" s="711"/>
      <c r="B78" s="731" t="s">
        <v>121</v>
      </c>
      <c r="C78" s="209" t="s">
        <v>14</v>
      </c>
      <c r="D78" s="732" t="s">
        <v>155</v>
      </c>
      <c r="E78" s="282">
        <f t="shared" si="4"/>
        <v>0</v>
      </c>
      <c r="F78" s="127">
        <v>0</v>
      </c>
      <c r="G78" s="127">
        <v>0</v>
      </c>
      <c r="H78" s="158">
        <v>0</v>
      </c>
      <c r="I78" s="127">
        <v>0</v>
      </c>
      <c r="J78" s="129">
        <v>0</v>
      </c>
      <c r="K78" s="315"/>
      <c r="L78" s="627"/>
      <c r="M78" s="339"/>
      <c r="N78" s="9"/>
    </row>
    <row r="79" spans="1:14" s="10" customFormat="1" ht="13.5" customHeight="1" hidden="1">
      <c r="A79" s="711"/>
      <c r="B79" s="731"/>
      <c r="C79" s="210" t="s">
        <v>16</v>
      </c>
      <c r="D79" s="732"/>
      <c r="E79" s="283">
        <f t="shared" si="4"/>
        <v>0</v>
      </c>
      <c r="F79" s="131">
        <v>0</v>
      </c>
      <c r="G79" s="131">
        <v>0</v>
      </c>
      <c r="H79" s="131">
        <v>0</v>
      </c>
      <c r="I79" s="131">
        <v>0</v>
      </c>
      <c r="J79" s="132">
        <v>0</v>
      </c>
      <c r="K79" s="315"/>
      <c r="L79" s="627"/>
      <c r="M79" s="339"/>
      <c r="N79" s="9"/>
    </row>
    <row r="80" spans="1:14" s="10" customFormat="1" ht="25.5" customHeight="1" hidden="1">
      <c r="A80" s="711"/>
      <c r="B80" s="731"/>
      <c r="C80" s="210" t="s">
        <v>17</v>
      </c>
      <c r="D80" s="732"/>
      <c r="E80" s="284">
        <f t="shared" si="4"/>
        <v>0</v>
      </c>
      <c r="F80" s="135">
        <v>0</v>
      </c>
      <c r="G80" s="135">
        <v>0</v>
      </c>
      <c r="H80" s="135">
        <v>0</v>
      </c>
      <c r="I80" s="135">
        <v>0</v>
      </c>
      <c r="J80" s="136">
        <v>0</v>
      </c>
      <c r="K80" s="315"/>
      <c r="L80" s="627"/>
      <c r="M80" s="339"/>
      <c r="N80" s="9"/>
    </row>
    <row r="81" spans="1:14" s="10" customFormat="1" ht="13.5" customHeight="1" hidden="1">
      <c r="A81" s="711"/>
      <c r="B81" s="731" t="s">
        <v>122</v>
      </c>
      <c r="C81" s="209" t="s">
        <v>14</v>
      </c>
      <c r="D81" s="732" t="s">
        <v>154</v>
      </c>
      <c r="E81" s="282">
        <f t="shared" si="4"/>
        <v>0</v>
      </c>
      <c r="F81" s="128">
        <v>0</v>
      </c>
      <c r="G81" s="128">
        <v>0</v>
      </c>
      <c r="H81" s="128">
        <v>0</v>
      </c>
      <c r="I81" s="127">
        <v>0</v>
      </c>
      <c r="J81" s="139">
        <v>0</v>
      </c>
      <c r="K81" s="315"/>
      <c r="L81" s="627"/>
      <c r="M81" s="339"/>
      <c r="N81" s="9"/>
    </row>
    <row r="82" spans="1:14" s="10" customFormat="1" ht="13.5" customHeight="1" hidden="1">
      <c r="A82" s="711"/>
      <c r="B82" s="731"/>
      <c r="C82" s="210" t="s">
        <v>16</v>
      </c>
      <c r="D82" s="732"/>
      <c r="E82" s="283">
        <f t="shared" si="4"/>
        <v>0</v>
      </c>
      <c r="F82" s="131">
        <v>0</v>
      </c>
      <c r="G82" s="131">
        <v>0</v>
      </c>
      <c r="H82" s="131">
        <v>0</v>
      </c>
      <c r="I82" s="131">
        <v>0</v>
      </c>
      <c r="J82" s="132">
        <v>0</v>
      </c>
      <c r="K82" s="315"/>
      <c r="L82" s="627"/>
      <c r="M82" s="339"/>
      <c r="N82" s="9"/>
    </row>
    <row r="83" spans="1:14" s="10" customFormat="1" ht="26.25" customHeight="1" hidden="1">
      <c r="A83" s="711"/>
      <c r="B83" s="731"/>
      <c r="C83" s="210" t="s">
        <v>17</v>
      </c>
      <c r="D83" s="732"/>
      <c r="E83" s="284">
        <f t="shared" si="4"/>
        <v>0</v>
      </c>
      <c r="F83" s="134">
        <v>0</v>
      </c>
      <c r="G83" s="134">
        <v>0</v>
      </c>
      <c r="H83" s="134">
        <v>0</v>
      </c>
      <c r="I83" s="134">
        <v>0</v>
      </c>
      <c r="J83" s="136">
        <v>0</v>
      </c>
      <c r="K83" s="315"/>
      <c r="L83" s="627"/>
      <c r="M83" s="339"/>
      <c r="N83" s="9"/>
    </row>
    <row r="84" spans="1:14" s="10" customFormat="1" ht="13.5" customHeight="1" thickBot="1">
      <c r="A84" s="669" t="s">
        <v>167</v>
      </c>
      <c r="B84" s="680" t="s">
        <v>117</v>
      </c>
      <c r="C84" s="203" t="s">
        <v>14</v>
      </c>
      <c r="D84" s="681">
        <f>E84+E85+E86</f>
        <v>887557.09</v>
      </c>
      <c r="E84" s="279">
        <f t="shared" si="4"/>
        <v>887557.09</v>
      </c>
      <c r="F84" s="116">
        <v>0</v>
      </c>
      <c r="G84" s="115">
        <v>0</v>
      </c>
      <c r="H84" s="115">
        <v>0</v>
      </c>
      <c r="I84" s="115">
        <f>1000000-112442.91</f>
        <v>887557.09</v>
      </c>
      <c r="J84" s="117">
        <v>0</v>
      </c>
      <c r="K84" s="153"/>
      <c r="L84" s="627"/>
      <c r="M84" s="339"/>
      <c r="N84" s="9"/>
    </row>
    <row r="85" spans="1:14" s="10" customFormat="1" ht="13.5" customHeight="1" thickBot="1">
      <c r="A85" s="669"/>
      <c r="B85" s="680"/>
      <c r="C85" s="205" t="s">
        <v>16</v>
      </c>
      <c r="D85" s="681"/>
      <c r="E85" s="280">
        <f t="shared" si="4"/>
        <v>0</v>
      </c>
      <c r="F85" s="120">
        <v>0</v>
      </c>
      <c r="G85" s="119">
        <v>0</v>
      </c>
      <c r="H85" s="119">
        <v>0</v>
      </c>
      <c r="I85" s="119">
        <v>0</v>
      </c>
      <c r="J85" s="121">
        <v>0</v>
      </c>
      <c r="K85" s="155"/>
      <c r="L85" s="627"/>
      <c r="M85" s="339"/>
      <c r="N85" s="9"/>
    </row>
    <row r="86" spans="1:14" s="10" customFormat="1" ht="21.75" customHeight="1" thickBot="1">
      <c r="A86" s="669"/>
      <c r="B86" s="680"/>
      <c r="C86" s="207" t="s">
        <v>17</v>
      </c>
      <c r="D86" s="681"/>
      <c r="E86" s="281">
        <f t="shared" si="4"/>
        <v>0</v>
      </c>
      <c r="F86" s="236">
        <v>0</v>
      </c>
      <c r="G86" s="240">
        <v>0</v>
      </c>
      <c r="H86" s="240">
        <v>0</v>
      </c>
      <c r="I86" s="240">
        <v>0</v>
      </c>
      <c r="J86" s="247">
        <v>0</v>
      </c>
      <c r="K86" s="156"/>
      <c r="L86" s="627"/>
      <c r="M86" s="339"/>
      <c r="N86" s="9"/>
    </row>
    <row r="87" spans="1:14" s="10" customFormat="1" ht="13.5" customHeight="1" thickBot="1">
      <c r="A87" s="669" t="s">
        <v>168</v>
      </c>
      <c r="B87" s="680" t="s">
        <v>114</v>
      </c>
      <c r="C87" s="203" t="s">
        <v>14</v>
      </c>
      <c r="D87" s="681">
        <v>73200</v>
      </c>
      <c r="E87" s="289">
        <f t="shared" si="4"/>
        <v>73241</v>
      </c>
      <c r="F87" s="274">
        <v>73241</v>
      </c>
      <c r="G87" s="248">
        <v>0</v>
      </c>
      <c r="H87" s="248">
        <v>0</v>
      </c>
      <c r="I87" s="248">
        <v>0</v>
      </c>
      <c r="J87" s="272">
        <v>0</v>
      </c>
      <c r="K87" s="153"/>
      <c r="L87" s="627"/>
      <c r="M87" s="339"/>
      <c r="N87" s="9"/>
    </row>
    <row r="88" spans="1:14" s="10" customFormat="1" ht="13.5" thickBot="1">
      <c r="A88" s="669"/>
      <c r="B88" s="680"/>
      <c r="C88" s="205" t="s">
        <v>16</v>
      </c>
      <c r="D88" s="681"/>
      <c r="E88" s="290">
        <f t="shared" si="4"/>
        <v>61181</v>
      </c>
      <c r="F88" s="270">
        <v>0</v>
      </c>
      <c r="G88" s="120">
        <f>61181</f>
        <v>61181</v>
      </c>
      <c r="H88" s="120">
        <v>0</v>
      </c>
      <c r="I88" s="120">
        <v>0</v>
      </c>
      <c r="J88" s="154">
        <v>0</v>
      </c>
      <c r="K88" s="155"/>
      <c r="L88" s="627"/>
      <c r="M88" s="339"/>
      <c r="N88" s="9"/>
    </row>
    <row r="89" spans="1:14" s="10" customFormat="1" ht="13.5" thickBot="1">
      <c r="A89" s="669"/>
      <c r="B89" s="680"/>
      <c r="C89" s="207" t="s">
        <v>17</v>
      </c>
      <c r="D89" s="681"/>
      <c r="E89" s="295">
        <f t="shared" si="4"/>
        <v>0</v>
      </c>
      <c r="F89" s="275">
        <v>0</v>
      </c>
      <c r="G89" s="252">
        <v>0</v>
      </c>
      <c r="H89" s="252">
        <v>0</v>
      </c>
      <c r="I89" s="252">
        <v>0</v>
      </c>
      <c r="J89" s="273">
        <v>0</v>
      </c>
      <c r="K89" s="156"/>
      <c r="L89" s="627"/>
      <c r="M89" s="339"/>
      <c r="N89" s="9"/>
    </row>
    <row r="90" spans="1:14" s="10" customFormat="1" ht="12.75">
      <c r="A90" s="762" t="s">
        <v>169</v>
      </c>
      <c r="B90" s="765" t="s">
        <v>197</v>
      </c>
      <c r="C90" s="203" t="s">
        <v>14</v>
      </c>
      <c r="D90" s="687">
        <v>300000</v>
      </c>
      <c r="E90" s="349"/>
      <c r="F90" s="274">
        <v>0</v>
      </c>
      <c r="G90" s="248">
        <v>0</v>
      </c>
      <c r="H90" s="377">
        <f>ROUND((300000)*5/100,2)</f>
        <v>15000</v>
      </c>
      <c r="I90" s="354">
        <v>0</v>
      </c>
      <c r="J90" s="272">
        <v>0</v>
      </c>
      <c r="K90" s="351"/>
      <c r="L90" s="627"/>
      <c r="M90" s="339"/>
      <c r="N90" s="9"/>
    </row>
    <row r="91" spans="1:14" s="10" customFormat="1" ht="12.75">
      <c r="A91" s="763"/>
      <c r="B91" s="766"/>
      <c r="C91" s="205" t="s">
        <v>16</v>
      </c>
      <c r="D91" s="688"/>
      <c r="E91" s="349"/>
      <c r="F91" s="358">
        <v>0</v>
      </c>
      <c r="G91" s="236">
        <v>0</v>
      </c>
      <c r="H91" s="378">
        <f>ROUND((300000)*95/100,2)</f>
        <v>285000</v>
      </c>
      <c r="I91" s="355">
        <v>0</v>
      </c>
      <c r="J91" s="154">
        <v>0</v>
      </c>
      <c r="K91" s="352"/>
      <c r="L91" s="627"/>
      <c r="M91" s="339"/>
      <c r="N91" s="9"/>
    </row>
    <row r="92" spans="1:14" s="10" customFormat="1" ht="13.5" thickBot="1">
      <c r="A92" s="764"/>
      <c r="B92" s="767"/>
      <c r="C92" s="207" t="s">
        <v>17</v>
      </c>
      <c r="D92" s="689"/>
      <c r="E92" s="349"/>
      <c r="F92" s="359">
        <v>0</v>
      </c>
      <c r="G92" s="360">
        <v>0</v>
      </c>
      <c r="H92" s="361">
        <v>0</v>
      </c>
      <c r="I92" s="356">
        <v>0</v>
      </c>
      <c r="J92" s="273">
        <v>0</v>
      </c>
      <c r="K92" s="353"/>
      <c r="L92" s="627"/>
      <c r="M92" s="339"/>
      <c r="N92" s="9"/>
    </row>
    <row r="93" spans="1:14" ht="13.5" thickBot="1">
      <c r="A93" s="755" t="s">
        <v>170</v>
      </c>
      <c r="B93" s="670" t="s">
        <v>126</v>
      </c>
      <c r="C93" s="203" t="s">
        <v>14</v>
      </c>
      <c r="D93" s="673">
        <f>E93+E94+E95</f>
        <v>6056950</v>
      </c>
      <c r="E93" s="289">
        <f t="shared" si="4"/>
        <v>302850</v>
      </c>
      <c r="F93" s="357">
        <v>0</v>
      </c>
      <c r="G93" s="357">
        <v>302850</v>
      </c>
      <c r="H93" s="350">
        <v>0</v>
      </c>
      <c r="I93" s="237">
        <v>0</v>
      </c>
      <c r="J93" s="276">
        <v>0</v>
      </c>
      <c r="K93" s="155"/>
      <c r="L93" s="627"/>
      <c r="M93" s="339"/>
      <c r="N93" s="263"/>
    </row>
    <row r="94" spans="1:14" ht="13.5" thickBot="1">
      <c r="A94" s="756"/>
      <c r="B94" s="671"/>
      <c r="C94" s="205" t="s">
        <v>16</v>
      </c>
      <c r="D94" s="673"/>
      <c r="E94" s="280">
        <f t="shared" si="4"/>
        <v>5754100</v>
      </c>
      <c r="F94" s="237">
        <v>0</v>
      </c>
      <c r="G94" s="237">
        <v>5754100</v>
      </c>
      <c r="H94" s="120">
        <v>0</v>
      </c>
      <c r="I94" s="120">
        <v>0</v>
      </c>
      <c r="J94" s="154">
        <v>0</v>
      </c>
      <c r="K94" s="155"/>
      <c r="L94" s="627"/>
      <c r="M94" s="339"/>
      <c r="N94" s="1"/>
    </row>
    <row r="95" spans="1:14" ht="13.5" customHeight="1" thickBot="1">
      <c r="A95" s="757"/>
      <c r="B95" s="672"/>
      <c r="C95" s="207" t="s">
        <v>17</v>
      </c>
      <c r="D95" s="673"/>
      <c r="E95" s="281">
        <f t="shared" si="4"/>
        <v>0</v>
      </c>
      <c r="F95" s="236">
        <v>0</v>
      </c>
      <c r="G95" s="236">
        <v>0</v>
      </c>
      <c r="H95" s="236">
        <v>0</v>
      </c>
      <c r="I95" s="236">
        <v>0</v>
      </c>
      <c r="J95" s="266">
        <v>0</v>
      </c>
      <c r="K95" s="238"/>
      <c r="L95" s="627"/>
      <c r="M95" s="339"/>
      <c r="N95" s="1"/>
    </row>
    <row r="96" spans="1:14" ht="13.5" customHeight="1" thickBot="1">
      <c r="A96" s="755" t="s">
        <v>171</v>
      </c>
      <c r="B96" s="670" t="s">
        <v>118</v>
      </c>
      <c r="C96" s="203" t="s">
        <v>14</v>
      </c>
      <c r="D96" s="673">
        <f>E96+E97+E98</f>
        <v>878000</v>
      </c>
      <c r="E96" s="289">
        <f t="shared" si="4"/>
        <v>878000</v>
      </c>
      <c r="F96" s="274">
        <v>0</v>
      </c>
      <c r="G96" s="248">
        <v>878000</v>
      </c>
      <c r="H96" s="248">
        <v>0</v>
      </c>
      <c r="I96" s="248">
        <v>0</v>
      </c>
      <c r="J96" s="272">
        <v>0</v>
      </c>
      <c r="K96" s="153"/>
      <c r="L96" s="627"/>
      <c r="M96" s="339"/>
      <c r="N96" s="1"/>
    </row>
    <row r="97" spans="1:14" ht="13.5" customHeight="1" thickBot="1">
      <c r="A97" s="756"/>
      <c r="B97" s="671"/>
      <c r="C97" s="205" t="s">
        <v>16</v>
      </c>
      <c r="D97" s="673"/>
      <c r="E97" s="290">
        <f t="shared" si="4"/>
        <v>0</v>
      </c>
      <c r="F97" s="270">
        <v>0</v>
      </c>
      <c r="G97" s="120">
        <v>0</v>
      </c>
      <c r="H97" s="120">
        <v>0</v>
      </c>
      <c r="I97" s="120">
        <v>0</v>
      </c>
      <c r="J97" s="154">
        <v>0</v>
      </c>
      <c r="K97" s="155"/>
      <c r="L97" s="627"/>
      <c r="M97" s="339"/>
      <c r="N97" s="1"/>
    </row>
    <row r="98" spans="1:14" ht="14.25" customHeight="1" thickBot="1">
      <c r="A98" s="757"/>
      <c r="B98" s="672"/>
      <c r="C98" s="207" t="s">
        <v>17</v>
      </c>
      <c r="D98" s="673"/>
      <c r="E98" s="295">
        <f t="shared" si="4"/>
        <v>0</v>
      </c>
      <c r="F98" s="275">
        <v>0</v>
      </c>
      <c r="G98" s="252">
        <v>0</v>
      </c>
      <c r="H98" s="252">
        <v>0</v>
      </c>
      <c r="I98" s="252">
        <v>0</v>
      </c>
      <c r="J98" s="273">
        <v>0</v>
      </c>
      <c r="K98" s="156"/>
      <c r="L98" s="627"/>
      <c r="M98" s="339"/>
      <c r="N98" s="1"/>
    </row>
    <row r="99" spans="1:14" ht="13.5" customHeight="1" hidden="1">
      <c r="A99" s="755" t="s">
        <v>172</v>
      </c>
      <c r="B99" s="670" t="s">
        <v>120</v>
      </c>
      <c r="C99" s="203" t="s">
        <v>14</v>
      </c>
      <c r="D99" s="673">
        <f>E99+E100+E101</f>
        <v>0</v>
      </c>
      <c r="E99" s="279">
        <f t="shared" si="4"/>
        <v>0</v>
      </c>
      <c r="F99" s="242">
        <v>0</v>
      </c>
      <c r="G99" s="242">
        <v>0</v>
      </c>
      <c r="H99" s="242">
        <v>0</v>
      </c>
      <c r="I99" s="242">
        <v>0</v>
      </c>
      <c r="J99" s="277">
        <v>0</v>
      </c>
      <c r="K99" s="159"/>
      <c r="L99" s="627"/>
      <c r="M99" s="339"/>
      <c r="N99" s="1"/>
    </row>
    <row r="100" spans="1:14" ht="13.5" customHeight="1" hidden="1">
      <c r="A100" s="756"/>
      <c r="B100" s="671"/>
      <c r="C100" s="205" t="s">
        <v>16</v>
      </c>
      <c r="D100" s="673"/>
      <c r="E100" s="280">
        <f t="shared" si="4"/>
        <v>0</v>
      </c>
      <c r="F100" s="119">
        <v>0</v>
      </c>
      <c r="G100" s="119">
        <v>0</v>
      </c>
      <c r="H100" s="115">
        <v>0</v>
      </c>
      <c r="I100" s="119">
        <v>0</v>
      </c>
      <c r="J100" s="160">
        <v>0</v>
      </c>
      <c r="K100" s="159"/>
      <c r="L100" s="627"/>
      <c r="M100" s="339"/>
      <c r="N100" s="1"/>
    </row>
    <row r="101" spans="1:14" ht="13.5" customHeight="1" hidden="1">
      <c r="A101" s="757"/>
      <c r="B101" s="672"/>
      <c r="C101" s="207" t="s">
        <v>17</v>
      </c>
      <c r="D101" s="673"/>
      <c r="E101" s="281">
        <f t="shared" si="4"/>
        <v>0</v>
      </c>
      <c r="F101" s="119">
        <v>0</v>
      </c>
      <c r="G101" s="119">
        <v>0</v>
      </c>
      <c r="H101" s="115">
        <v>0</v>
      </c>
      <c r="I101" s="123">
        <v>0</v>
      </c>
      <c r="J101" s="161">
        <v>0</v>
      </c>
      <c r="K101" s="162"/>
      <c r="L101" s="627"/>
      <c r="M101" s="339"/>
      <c r="N101" s="1"/>
    </row>
    <row r="102" spans="1:14" ht="13.5" customHeight="1" thickBot="1">
      <c r="A102" s="755" t="s">
        <v>173</v>
      </c>
      <c r="B102" s="670" t="s">
        <v>123</v>
      </c>
      <c r="C102" s="203" t="s">
        <v>14</v>
      </c>
      <c r="D102" s="673">
        <v>2364000</v>
      </c>
      <c r="E102" s="279">
        <f>SUM(F102:J102)</f>
        <v>0</v>
      </c>
      <c r="F102" s="115">
        <v>0</v>
      </c>
      <c r="G102" s="115">
        <v>0</v>
      </c>
      <c r="H102" s="115">
        <v>0</v>
      </c>
      <c r="I102" s="115">
        <v>0</v>
      </c>
      <c r="J102" s="117">
        <v>0</v>
      </c>
      <c r="K102" s="667" t="s">
        <v>136</v>
      </c>
      <c r="L102" s="627"/>
      <c r="M102" s="339"/>
      <c r="N102" s="1"/>
    </row>
    <row r="103" spans="1:14" ht="13.5" customHeight="1" thickBot="1">
      <c r="A103" s="756"/>
      <c r="B103" s="671"/>
      <c r="C103" s="205" t="s">
        <v>16</v>
      </c>
      <c r="D103" s="673"/>
      <c r="E103" s="280">
        <f>SUM(F103:J103)</f>
        <v>0</v>
      </c>
      <c r="F103" s="119">
        <v>0</v>
      </c>
      <c r="G103" s="119">
        <v>0</v>
      </c>
      <c r="H103" s="119">
        <v>0</v>
      </c>
      <c r="I103" s="119">
        <v>0</v>
      </c>
      <c r="J103" s="121">
        <v>0</v>
      </c>
      <c r="K103" s="733"/>
      <c r="L103" s="627"/>
      <c r="M103" s="339"/>
      <c r="N103" s="1"/>
    </row>
    <row r="104" spans="1:14" ht="23.25" customHeight="1" thickBot="1">
      <c r="A104" s="757"/>
      <c r="B104" s="672"/>
      <c r="C104" s="207" t="s">
        <v>17</v>
      </c>
      <c r="D104" s="673"/>
      <c r="E104" s="281">
        <f>SUM(F104:J104)</f>
        <v>0</v>
      </c>
      <c r="F104" s="119">
        <v>0</v>
      </c>
      <c r="G104" s="119">
        <v>0</v>
      </c>
      <c r="H104" s="123">
        <v>0</v>
      </c>
      <c r="I104" s="123">
        <v>0</v>
      </c>
      <c r="J104" s="125">
        <v>0</v>
      </c>
      <c r="K104" s="734"/>
      <c r="L104" s="627"/>
      <c r="M104" s="339"/>
      <c r="N104" s="263"/>
    </row>
    <row r="105" spans="1:14" ht="13.5" customHeight="1">
      <c r="A105" s="755" t="s">
        <v>174</v>
      </c>
      <c r="B105" s="670" t="s">
        <v>124</v>
      </c>
      <c r="C105" s="203" t="s">
        <v>14</v>
      </c>
      <c r="D105" s="687">
        <f>E105+E106+E107</f>
        <v>2500000</v>
      </c>
      <c r="E105" s="279">
        <f aca="true" t="shared" si="6" ref="E105:E140">SUM(F105:J105)</f>
        <v>2500000</v>
      </c>
      <c r="F105" s="115">
        <v>0</v>
      </c>
      <c r="G105" s="115">
        <v>0</v>
      </c>
      <c r="H105" s="115">
        <v>2500000</v>
      </c>
      <c r="I105" s="115">
        <v>0</v>
      </c>
      <c r="J105" s="117">
        <v>0</v>
      </c>
      <c r="K105" s="118"/>
      <c r="L105" s="627"/>
      <c r="M105" s="339"/>
      <c r="N105" s="1"/>
    </row>
    <row r="106" spans="1:14" ht="13.5" customHeight="1">
      <c r="A106" s="756"/>
      <c r="B106" s="671"/>
      <c r="C106" s="205" t="s">
        <v>16</v>
      </c>
      <c r="D106" s="688"/>
      <c r="E106" s="280">
        <f t="shared" si="6"/>
        <v>0</v>
      </c>
      <c r="F106" s="119">
        <v>0</v>
      </c>
      <c r="G106" s="119">
        <v>0</v>
      </c>
      <c r="H106" s="119">
        <v>0</v>
      </c>
      <c r="I106" s="119">
        <v>0</v>
      </c>
      <c r="J106" s="121">
        <v>0</v>
      </c>
      <c r="K106" s="122"/>
      <c r="L106" s="627"/>
      <c r="M106" s="339"/>
      <c r="N106" s="1"/>
    </row>
    <row r="107" spans="1:14" ht="11.25" customHeight="1" thickBot="1">
      <c r="A107" s="757"/>
      <c r="B107" s="672"/>
      <c r="C107" s="207" t="s">
        <v>17</v>
      </c>
      <c r="D107" s="689"/>
      <c r="E107" s="281">
        <f t="shared" si="6"/>
        <v>0</v>
      </c>
      <c r="F107" s="119">
        <v>0</v>
      </c>
      <c r="G107" s="119">
        <v>0</v>
      </c>
      <c r="H107" s="123">
        <v>0</v>
      </c>
      <c r="I107" s="123">
        <v>0</v>
      </c>
      <c r="J107" s="125">
        <v>0</v>
      </c>
      <c r="K107" s="126"/>
      <c r="L107" s="627"/>
      <c r="M107" s="339"/>
      <c r="N107" s="1"/>
    </row>
    <row r="108" spans="1:14" ht="13.5" customHeight="1" thickBot="1">
      <c r="A108" s="755" t="s">
        <v>175</v>
      </c>
      <c r="B108" s="670" t="s">
        <v>125</v>
      </c>
      <c r="C108" s="203" t="s">
        <v>14</v>
      </c>
      <c r="D108" s="673">
        <f>E108+E109+E110</f>
        <v>2472193.89</v>
      </c>
      <c r="E108" s="279">
        <f t="shared" si="6"/>
        <v>2472193.89</v>
      </c>
      <c r="F108" s="115">
        <v>0</v>
      </c>
      <c r="G108" s="115">
        <v>0</v>
      </c>
      <c r="H108" s="115">
        <f>2000000+282100+119.89-99052.02+289026.02</f>
        <v>2472193.89</v>
      </c>
      <c r="I108" s="115">
        <v>0</v>
      </c>
      <c r="J108" s="117">
        <v>0</v>
      </c>
      <c r="K108" s="163"/>
      <c r="L108" s="627"/>
      <c r="M108" s="339"/>
      <c r="N108" s="263"/>
    </row>
    <row r="109" spans="1:14" ht="13.5" customHeight="1" thickBot="1">
      <c r="A109" s="756"/>
      <c r="B109" s="671"/>
      <c r="C109" s="205" t="s">
        <v>16</v>
      </c>
      <c r="D109" s="673"/>
      <c r="E109" s="280">
        <f t="shared" si="6"/>
        <v>0</v>
      </c>
      <c r="F109" s="119">
        <v>0</v>
      </c>
      <c r="G109" s="119">
        <v>0</v>
      </c>
      <c r="H109" s="119">
        <v>0</v>
      </c>
      <c r="I109" s="119">
        <v>0</v>
      </c>
      <c r="J109" s="121">
        <v>0</v>
      </c>
      <c r="K109" s="122"/>
      <c r="L109" s="627"/>
      <c r="M109" s="380"/>
      <c r="N109" s="1"/>
    </row>
    <row r="110" spans="1:14" ht="11.25" customHeight="1" thickBot="1">
      <c r="A110" s="757"/>
      <c r="B110" s="672"/>
      <c r="C110" s="207" t="s">
        <v>17</v>
      </c>
      <c r="D110" s="673"/>
      <c r="E110" s="281">
        <f t="shared" si="6"/>
        <v>0</v>
      </c>
      <c r="F110" s="119">
        <v>0</v>
      </c>
      <c r="G110" s="119">
        <v>0</v>
      </c>
      <c r="H110" s="123">
        <v>0</v>
      </c>
      <c r="I110" s="123">
        <v>0</v>
      </c>
      <c r="J110" s="125">
        <v>0</v>
      </c>
      <c r="K110" s="126"/>
      <c r="L110" s="627"/>
      <c r="M110" s="380"/>
      <c r="N110" s="1"/>
    </row>
    <row r="111" spans="1:14" ht="11.25" customHeight="1" thickBot="1">
      <c r="A111" s="755" t="s">
        <v>176</v>
      </c>
      <c r="B111" s="748" t="s">
        <v>184</v>
      </c>
      <c r="C111" s="203" t="s">
        <v>14</v>
      </c>
      <c r="D111" s="758">
        <f>H111+H112</f>
        <v>930683.5800000001</v>
      </c>
      <c r="E111" s="368">
        <f t="shared" si="6"/>
        <v>46534.18</v>
      </c>
      <c r="F111" s="369">
        <v>0</v>
      </c>
      <c r="G111" s="369">
        <v>0</v>
      </c>
      <c r="H111" s="362">
        <f>ROUND((923922+6761.58)*5/100,2)</f>
        <v>46534.18</v>
      </c>
      <c r="I111" s="115">
        <v>0</v>
      </c>
      <c r="J111" s="117">
        <v>0</v>
      </c>
      <c r="K111" s="163"/>
      <c r="L111" s="627"/>
      <c r="M111" s="381"/>
      <c r="N111" s="263"/>
    </row>
    <row r="112" spans="1:17" ht="11.25" customHeight="1" thickBot="1">
      <c r="A112" s="756"/>
      <c r="B112" s="749"/>
      <c r="C112" s="205" t="s">
        <v>16</v>
      </c>
      <c r="D112" s="758"/>
      <c r="E112" s="370">
        <f t="shared" si="6"/>
        <v>884149.4</v>
      </c>
      <c r="F112" s="371">
        <v>0</v>
      </c>
      <c r="G112" s="371">
        <v>0</v>
      </c>
      <c r="H112" s="363">
        <f>ROUND((923922+6761.58)*95/100,2)</f>
        <v>884149.4</v>
      </c>
      <c r="I112" s="119">
        <v>0</v>
      </c>
      <c r="J112" s="121">
        <v>0</v>
      </c>
      <c r="K112" s="122"/>
      <c r="L112" s="627"/>
      <c r="M112" s="381"/>
      <c r="N112" s="263"/>
      <c r="Q112" s="261"/>
    </row>
    <row r="113" spans="1:17" ht="11.25" customHeight="1" thickBot="1">
      <c r="A113" s="757"/>
      <c r="B113" s="750"/>
      <c r="C113" s="207" t="s">
        <v>17</v>
      </c>
      <c r="D113" s="758"/>
      <c r="E113" s="372">
        <f t="shared" si="6"/>
        <v>0</v>
      </c>
      <c r="F113" s="371">
        <v>0</v>
      </c>
      <c r="G113" s="371">
        <v>0</v>
      </c>
      <c r="H113" s="373">
        <v>0</v>
      </c>
      <c r="I113" s="123">
        <v>0</v>
      </c>
      <c r="J113" s="125">
        <v>0</v>
      </c>
      <c r="K113" s="126"/>
      <c r="L113" s="627"/>
      <c r="M113" s="381"/>
      <c r="N113" s="263"/>
      <c r="Q113" s="261"/>
    </row>
    <row r="114" spans="1:14" ht="11.25" customHeight="1" thickBot="1">
      <c r="A114" s="755" t="s">
        <v>177</v>
      </c>
      <c r="B114" s="748" t="s">
        <v>185</v>
      </c>
      <c r="C114" s="203" t="s">
        <v>14</v>
      </c>
      <c r="D114" s="758">
        <f>H114+H115</f>
        <v>266130.91</v>
      </c>
      <c r="E114" s="368">
        <f t="shared" si="6"/>
        <v>13306.55</v>
      </c>
      <c r="F114" s="369">
        <v>0</v>
      </c>
      <c r="G114" s="369">
        <v>0</v>
      </c>
      <c r="H114" s="362">
        <f>ROUND((263189+2941.9)*5/100,2)</f>
        <v>13306.55</v>
      </c>
      <c r="I114" s="115">
        <v>0</v>
      </c>
      <c r="J114" s="117">
        <v>0</v>
      </c>
      <c r="K114" s="163"/>
      <c r="L114" s="627"/>
      <c r="M114" s="381"/>
      <c r="N114" s="263"/>
    </row>
    <row r="115" spans="1:16" ht="11.25" customHeight="1" thickBot="1">
      <c r="A115" s="756"/>
      <c r="B115" s="749"/>
      <c r="C115" s="205" t="s">
        <v>16</v>
      </c>
      <c r="D115" s="758"/>
      <c r="E115" s="370">
        <f t="shared" si="6"/>
        <v>252824.36</v>
      </c>
      <c r="F115" s="371">
        <v>0</v>
      </c>
      <c r="G115" s="371">
        <v>0</v>
      </c>
      <c r="H115" s="363">
        <f>ROUND((263189+2941.9)*95/100,2)</f>
        <v>252824.36</v>
      </c>
      <c r="I115" s="119">
        <v>0</v>
      </c>
      <c r="J115" s="121">
        <v>0</v>
      </c>
      <c r="K115" s="122"/>
      <c r="L115" s="627"/>
      <c r="M115" s="381"/>
      <c r="N115" s="263"/>
      <c r="O115" s="261"/>
      <c r="P115" s="261"/>
    </row>
    <row r="116" spans="1:16" ht="11.25" customHeight="1" thickBot="1">
      <c r="A116" s="757"/>
      <c r="B116" s="750"/>
      <c r="C116" s="207" t="s">
        <v>17</v>
      </c>
      <c r="D116" s="758"/>
      <c r="E116" s="372">
        <f t="shared" si="6"/>
        <v>0</v>
      </c>
      <c r="F116" s="371">
        <v>0</v>
      </c>
      <c r="G116" s="371">
        <v>0</v>
      </c>
      <c r="H116" s="373">
        <v>0</v>
      </c>
      <c r="I116" s="123">
        <v>0</v>
      </c>
      <c r="J116" s="125">
        <v>0</v>
      </c>
      <c r="K116" s="126"/>
      <c r="L116" s="627"/>
      <c r="M116" s="380"/>
      <c r="N116" s="263"/>
      <c r="P116" s="261"/>
    </row>
    <row r="117" spans="1:14" ht="11.25" customHeight="1" thickBot="1">
      <c r="A117" s="755" t="s">
        <v>178</v>
      </c>
      <c r="B117" s="748" t="s">
        <v>186</v>
      </c>
      <c r="C117" s="203" t="s">
        <v>14</v>
      </c>
      <c r="D117" s="758">
        <f>H117+H118</f>
        <v>288419.18</v>
      </c>
      <c r="E117" s="368">
        <f t="shared" si="6"/>
        <v>14420.96</v>
      </c>
      <c r="F117" s="369">
        <v>0</v>
      </c>
      <c r="G117" s="369">
        <v>0</v>
      </c>
      <c r="H117" s="362">
        <f>ROUND((281306+7113.18)*5/100,2)</f>
        <v>14420.96</v>
      </c>
      <c r="I117" s="115">
        <v>0</v>
      </c>
      <c r="J117" s="117">
        <v>0</v>
      </c>
      <c r="K117" s="163"/>
      <c r="L117" s="627"/>
      <c r="M117" s="381"/>
      <c r="N117" s="263"/>
    </row>
    <row r="118" spans="1:16" ht="11.25" customHeight="1" thickBot="1">
      <c r="A118" s="756"/>
      <c r="B118" s="749"/>
      <c r="C118" s="205" t="s">
        <v>16</v>
      </c>
      <c r="D118" s="758"/>
      <c r="E118" s="370">
        <f t="shared" si="6"/>
        <v>273998.22</v>
      </c>
      <c r="F118" s="371">
        <v>0</v>
      </c>
      <c r="G118" s="371">
        <v>0</v>
      </c>
      <c r="H118" s="363">
        <f>ROUND((281306+7113.18)*95/100,2)</f>
        <v>273998.22</v>
      </c>
      <c r="I118" s="119">
        <v>0</v>
      </c>
      <c r="J118" s="121">
        <v>0</v>
      </c>
      <c r="K118" s="122"/>
      <c r="L118" s="627"/>
      <c r="M118" s="381"/>
      <c r="N118" s="263"/>
      <c r="O118" s="261"/>
      <c r="P118" s="261"/>
    </row>
    <row r="119" spans="1:14" ht="11.25" customHeight="1" thickBot="1">
      <c r="A119" s="757"/>
      <c r="B119" s="750"/>
      <c r="C119" s="207" t="s">
        <v>17</v>
      </c>
      <c r="D119" s="758"/>
      <c r="E119" s="372">
        <f t="shared" si="6"/>
        <v>0</v>
      </c>
      <c r="F119" s="371">
        <v>0</v>
      </c>
      <c r="G119" s="371">
        <v>0</v>
      </c>
      <c r="H119" s="373">
        <v>0</v>
      </c>
      <c r="I119" s="123">
        <v>0</v>
      </c>
      <c r="J119" s="125">
        <v>0</v>
      </c>
      <c r="K119" s="126"/>
      <c r="L119" s="627"/>
      <c r="M119" s="380"/>
      <c r="N119" s="263"/>
    </row>
    <row r="120" spans="1:14" ht="11.25" customHeight="1" thickBot="1">
      <c r="A120" s="755" t="s">
        <v>179</v>
      </c>
      <c r="B120" s="748" t="s">
        <v>187</v>
      </c>
      <c r="C120" s="203" t="s">
        <v>14</v>
      </c>
      <c r="D120" s="758">
        <f>H120+H121</f>
        <v>2424339.15</v>
      </c>
      <c r="E120" s="368">
        <f t="shared" si="6"/>
        <v>121216.96</v>
      </c>
      <c r="F120" s="369">
        <v>0</v>
      </c>
      <c r="G120" s="369">
        <v>0</v>
      </c>
      <c r="H120" s="362">
        <f>ROUND((2379271.6+45067.55)*5/100,2)</f>
        <v>121216.96</v>
      </c>
      <c r="I120" s="115">
        <v>0</v>
      </c>
      <c r="J120" s="117">
        <v>0</v>
      </c>
      <c r="K120" s="163"/>
      <c r="L120" s="627"/>
      <c r="M120" s="381"/>
      <c r="N120" s="263"/>
    </row>
    <row r="121" spans="1:14" ht="11.25" customHeight="1" thickBot="1">
      <c r="A121" s="756"/>
      <c r="B121" s="749"/>
      <c r="C121" s="205" t="s">
        <v>16</v>
      </c>
      <c r="D121" s="758"/>
      <c r="E121" s="370">
        <f t="shared" si="6"/>
        <v>2303122.19</v>
      </c>
      <c r="F121" s="371">
        <v>0</v>
      </c>
      <c r="G121" s="371">
        <v>0</v>
      </c>
      <c r="H121" s="363">
        <f>ROUND((2379271.6+45067.55)*95/100,2)</f>
        <v>2303122.19</v>
      </c>
      <c r="I121" s="119">
        <v>0</v>
      </c>
      <c r="J121" s="121">
        <v>0</v>
      </c>
      <c r="K121" s="122"/>
      <c r="L121" s="627"/>
      <c r="M121" s="381"/>
      <c r="N121" s="263"/>
    </row>
    <row r="122" spans="1:14" s="323" customFormat="1" ht="11.25" customHeight="1" thickBot="1">
      <c r="A122" s="757"/>
      <c r="B122" s="750"/>
      <c r="C122" s="316" t="s">
        <v>17</v>
      </c>
      <c r="D122" s="758"/>
      <c r="E122" s="374">
        <f t="shared" si="6"/>
        <v>0</v>
      </c>
      <c r="F122" s="375">
        <v>0</v>
      </c>
      <c r="G122" s="375">
        <v>0</v>
      </c>
      <c r="H122" s="364">
        <v>0</v>
      </c>
      <c r="I122" s="319">
        <v>0</v>
      </c>
      <c r="J122" s="320">
        <v>0</v>
      </c>
      <c r="K122" s="321"/>
      <c r="L122" s="627"/>
      <c r="M122" s="380"/>
      <c r="N122" s="322"/>
    </row>
    <row r="123" spans="1:14" s="323" customFormat="1" ht="11.25" customHeight="1" thickBot="1">
      <c r="A123" s="755" t="s">
        <v>180</v>
      </c>
      <c r="B123" s="748" t="s">
        <v>193</v>
      </c>
      <c r="C123" s="203" t="s">
        <v>14</v>
      </c>
      <c r="D123" s="758">
        <f>H123+H124</f>
        <v>315512.44</v>
      </c>
      <c r="E123" s="368">
        <f t="shared" si="6"/>
        <v>15775.62</v>
      </c>
      <c r="F123" s="369">
        <v>0</v>
      </c>
      <c r="G123" s="369">
        <v>0</v>
      </c>
      <c r="H123" s="362">
        <f>ROUND((308315+7197.44)*5/100,2)</f>
        <v>15775.62</v>
      </c>
      <c r="I123" s="115">
        <v>0</v>
      </c>
      <c r="J123" s="117">
        <v>0</v>
      </c>
      <c r="K123" s="163"/>
      <c r="L123" s="627"/>
      <c r="M123" s="381"/>
      <c r="N123" s="322"/>
    </row>
    <row r="124" spans="1:14" s="323" customFormat="1" ht="11.25" customHeight="1" thickBot="1">
      <c r="A124" s="756"/>
      <c r="B124" s="749"/>
      <c r="C124" s="205" t="s">
        <v>16</v>
      </c>
      <c r="D124" s="758"/>
      <c r="E124" s="370">
        <f t="shared" si="6"/>
        <v>299736.82</v>
      </c>
      <c r="F124" s="371">
        <v>0</v>
      </c>
      <c r="G124" s="371">
        <v>0</v>
      </c>
      <c r="H124" s="363">
        <f>ROUND((308315+7197.44)*95/100,2)</f>
        <v>299736.82</v>
      </c>
      <c r="I124" s="119">
        <v>0</v>
      </c>
      <c r="J124" s="121">
        <v>0</v>
      </c>
      <c r="K124" s="122"/>
      <c r="L124" s="627"/>
      <c r="M124" s="381"/>
      <c r="N124" s="322"/>
    </row>
    <row r="125" spans="1:18" ht="11.25" customHeight="1" thickBot="1">
      <c r="A125" s="757"/>
      <c r="B125" s="750"/>
      <c r="C125" s="316" t="s">
        <v>17</v>
      </c>
      <c r="D125" s="758"/>
      <c r="E125" s="374">
        <f t="shared" si="6"/>
        <v>0</v>
      </c>
      <c r="F125" s="375">
        <v>0</v>
      </c>
      <c r="G125" s="375">
        <v>0</v>
      </c>
      <c r="H125" s="364">
        <v>0</v>
      </c>
      <c r="I125" s="319">
        <v>0</v>
      </c>
      <c r="J125" s="320">
        <v>0</v>
      </c>
      <c r="K125" s="321"/>
      <c r="L125" s="627"/>
      <c r="M125" s="380"/>
      <c r="N125" s="263"/>
      <c r="O125" s="261"/>
      <c r="P125" s="261"/>
      <c r="Q125" s="261"/>
      <c r="R125" s="261"/>
    </row>
    <row r="126" spans="1:15" ht="11.25" customHeight="1" thickBot="1">
      <c r="A126" s="755" t="s">
        <v>181</v>
      </c>
      <c r="B126" s="748" t="s">
        <v>194</v>
      </c>
      <c r="C126" s="203" t="s">
        <v>14</v>
      </c>
      <c r="D126" s="758">
        <f>H126+H127</f>
        <v>295443.29</v>
      </c>
      <c r="E126" s="368">
        <f t="shared" si="6"/>
        <v>14772.16</v>
      </c>
      <c r="F126" s="369">
        <v>0</v>
      </c>
      <c r="G126" s="369">
        <v>0</v>
      </c>
      <c r="H126" s="362">
        <f>ROUND((292634+2809.29)*5/100,2)</f>
        <v>14772.16</v>
      </c>
      <c r="I126" s="115">
        <v>0</v>
      </c>
      <c r="J126" s="117">
        <v>0</v>
      </c>
      <c r="K126" s="163"/>
      <c r="L126" s="627"/>
      <c r="M126" s="381"/>
      <c r="N126" s="263"/>
      <c r="O126" s="261"/>
    </row>
    <row r="127" spans="1:18" ht="11.25" customHeight="1" thickBot="1">
      <c r="A127" s="756"/>
      <c r="B127" s="749"/>
      <c r="C127" s="205" t="s">
        <v>16</v>
      </c>
      <c r="D127" s="758"/>
      <c r="E127" s="370">
        <f t="shared" si="6"/>
        <v>280671.13</v>
      </c>
      <c r="F127" s="371">
        <v>0</v>
      </c>
      <c r="G127" s="371">
        <v>0</v>
      </c>
      <c r="H127" s="363">
        <f>ROUND((292634+2809.29)*95/100,2)</f>
        <v>280671.13</v>
      </c>
      <c r="I127" s="119">
        <v>0</v>
      </c>
      <c r="J127" s="121">
        <v>0</v>
      </c>
      <c r="K127" s="122"/>
      <c r="L127" s="627"/>
      <c r="M127" s="381"/>
      <c r="N127" s="263"/>
      <c r="R127" s="261"/>
    </row>
    <row r="128" spans="1:14" ht="11.25" customHeight="1" thickBot="1">
      <c r="A128" s="757"/>
      <c r="B128" s="750"/>
      <c r="C128" s="316" t="s">
        <v>17</v>
      </c>
      <c r="D128" s="758"/>
      <c r="E128" s="374">
        <f t="shared" si="6"/>
        <v>0</v>
      </c>
      <c r="F128" s="375">
        <v>0</v>
      </c>
      <c r="G128" s="375">
        <v>0</v>
      </c>
      <c r="H128" s="364">
        <v>0</v>
      </c>
      <c r="I128" s="319">
        <v>0</v>
      </c>
      <c r="J128" s="320">
        <v>0</v>
      </c>
      <c r="K128" s="321"/>
      <c r="L128" s="627"/>
      <c r="M128" s="380"/>
      <c r="N128" s="263"/>
    </row>
    <row r="129" spans="1:14" ht="11.25" customHeight="1" thickBot="1">
      <c r="A129" s="755" t="s">
        <v>198</v>
      </c>
      <c r="B129" s="748" t="s">
        <v>196</v>
      </c>
      <c r="C129" s="203" t="s">
        <v>14</v>
      </c>
      <c r="D129" s="758">
        <f>H129+H130</f>
        <v>78077</v>
      </c>
      <c r="E129" s="368">
        <f>SUM(F129:J129)</f>
        <v>3903.85</v>
      </c>
      <c r="F129" s="369">
        <v>0</v>
      </c>
      <c r="G129" s="369">
        <v>0</v>
      </c>
      <c r="H129" s="362">
        <f>ROUND((76977+1100)*5/100,2)</f>
        <v>3903.85</v>
      </c>
      <c r="I129" s="115">
        <v>0</v>
      </c>
      <c r="J129" s="117">
        <v>0</v>
      </c>
      <c r="K129" s="163"/>
      <c r="L129" s="627"/>
      <c r="M129" s="381"/>
      <c r="N129" s="263"/>
    </row>
    <row r="130" spans="1:14" ht="11.25" customHeight="1" thickBot="1">
      <c r="A130" s="756"/>
      <c r="B130" s="749"/>
      <c r="C130" s="205" t="s">
        <v>16</v>
      </c>
      <c r="D130" s="758"/>
      <c r="E130" s="370">
        <f>SUM(F130:J130)</f>
        <v>74173.15</v>
      </c>
      <c r="F130" s="371">
        <v>0</v>
      </c>
      <c r="G130" s="371">
        <v>0</v>
      </c>
      <c r="H130" s="363">
        <f>ROUND((76977+1100)*95/100,2)</f>
        <v>74173.15</v>
      </c>
      <c r="I130" s="119">
        <v>0</v>
      </c>
      <c r="J130" s="121">
        <v>0</v>
      </c>
      <c r="K130" s="122"/>
      <c r="L130" s="627"/>
      <c r="M130" s="381"/>
      <c r="N130" s="340"/>
    </row>
    <row r="131" spans="1:14" ht="11.25" customHeight="1" thickBot="1">
      <c r="A131" s="757"/>
      <c r="B131" s="750"/>
      <c r="C131" s="316" t="s">
        <v>17</v>
      </c>
      <c r="D131" s="758"/>
      <c r="E131" s="374">
        <f>SUM(F131:J131)</f>
        <v>0</v>
      </c>
      <c r="F131" s="375">
        <v>0</v>
      </c>
      <c r="G131" s="375">
        <v>0</v>
      </c>
      <c r="H131" s="364">
        <v>0</v>
      </c>
      <c r="I131" s="319">
        <v>0</v>
      </c>
      <c r="J131" s="320">
        <v>0</v>
      </c>
      <c r="K131" s="321"/>
      <c r="L131" s="627"/>
      <c r="M131" s="380"/>
      <c r="N131" s="339"/>
    </row>
    <row r="132" spans="1:14" ht="11.25" customHeight="1" thickBot="1">
      <c r="A132" s="755" t="s">
        <v>199</v>
      </c>
      <c r="B132" s="748" t="s">
        <v>190</v>
      </c>
      <c r="C132" s="203" t="s">
        <v>14</v>
      </c>
      <c r="D132" s="758">
        <f>H132+H133</f>
        <v>848300.9600000001</v>
      </c>
      <c r="E132" s="368">
        <f t="shared" si="6"/>
        <v>42415.05</v>
      </c>
      <c r="F132" s="369">
        <v>0</v>
      </c>
      <c r="G132" s="369">
        <v>0</v>
      </c>
      <c r="H132" s="362">
        <f>ROUND((835935+12365.96)*5/100,2)</f>
        <v>42415.05</v>
      </c>
      <c r="I132" s="115">
        <v>0</v>
      </c>
      <c r="J132" s="117">
        <v>0</v>
      </c>
      <c r="K132" s="163"/>
      <c r="L132" s="627"/>
      <c r="M132" s="381"/>
      <c r="N132" s="340"/>
    </row>
    <row r="133" spans="1:14" ht="11.25" customHeight="1" thickBot="1">
      <c r="A133" s="756"/>
      <c r="B133" s="749"/>
      <c r="C133" s="205" t="s">
        <v>16</v>
      </c>
      <c r="D133" s="758"/>
      <c r="E133" s="370">
        <f t="shared" si="6"/>
        <v>805885.91</v>
      </c>
      <c r="F133" s="371">
        <v>0</v>
      </c>
      <c r="G133" s="371">
        <v>0</v>
      </c>
      <c r="H133" s="363">
        <f>ROUND((835935+12365.96)*95/100,2)</f>
        <v>805885.91</v>
      </c>
      <c r="I133" s="119">
        <v>0</v>
      </c>
      <c r="J133" s="121">
        <v>0</v>
      </c>
      <c r="K133" s="122"/>
      <c r="L133" s="627"/>
      <c r="M133" s="381"/>
      <c r="N133" s="340"/>
    </row>
    <row r="134" spans="1:14" ht="11.25" customHeight="1" thickBot="1">
      <c r="A134" s="757"/>
      <c r="B134" s="750"/>
      <c r="C134" s="316" t="s">
        <v>17</v>
      </c>
      <c r="D134" s="758"/>
      <c r="E134" s="374">
        <f t="shared" si="6"/>
        <v>0</v>
      </c>
      <c r="F134" s="375">
        <v>0</v>
      </c>
      <c r="G134" s="375">
        <v>0</v>
      </c>
      <c r="H134" s="364">
        <v>0</v>
      </c>
      <c r="I134" s="319">
        <v>0</v>
      </c>
      <c r="J134" s="320">
        <v>0</v>
      </c>
      <c r="K134" s="321"/>
      <c r="L134" s="627"/>
      <c r="M134" s="380"/>
      <c r="N134" s="263"/>
    </row>
    <row r="135" spans="1:14" ht="11.25" customHeight="1">
      <c r="A135" s="755" t="s">
        <v>200</v>
      </c>
      <c r="B135" s="748" t="s">
        <v>201</v>
      </c>
      <c r="C135" s="203" t="s">
        <v>14</v>
      </c>
      <c r="D135" s="759">
        <v>1132448.88</v>
      </c>
      <c r="E135" s="376"/>
      <c r="F135" s="369">
        <v>0</v>
      </c>
      <c r="G135" s="369">
        <v>0</v>
      </c>
      <c r="H135" s="377">
        <f>ROUND((1132448.88)*5/100,2)</f>
        <v>56622.44</v>
      </c>
      <c r="I135" s="362"/>
      <c r="J135" s="362"/>
      <c r="K135" s="362"/>
      <c r="L135" s="627"/>
      <c r="M135" s="380"/>
      <c r="N135" s="263"/>
    </row>
    <row r="136" spans="1:14" ht="11.25" customHeight="1">
      <c r="A136" s="756"/>
      <c r="B136" s="749"/>
      <c r="C136" s="205" t="s">
        <v>16</v>
      </c>
      <c r="D136" s="760"/>
      <c r="E136" s="376"/>
      <c r="F136" s="371">
        <v>0</v>
      </c>
      <c r="G136" s="371">
        <v>0</v>
      </c>
      <c r="H136" s="378">
        <f>ROUND((1132448.88)*95/100,2)</f>
        <v>1075826.44</v>
      </c>
      <c r="I136" s="363"/>
      <c r="J136" s="363"/>
      <c r="K136" s="363"/>
      <c r="L136" s="627"/>
      <c r="M136" s="380"/>
      <c r="N136" s="263"/>
    </row>
    <row r="137" spans="1:14" ht="11.25" customHeight="1" thickBot="1">
      <c r="A137" s="757"/>
      <c r="B137" s="750"/>
      <c r="C137" s="316" t="s">
        <v>17</v>
      </c>
      <c r="D137" s="761"/>
      <c r="E137" s="376"/>
      <c r="F137" s="375">
        <v>0</v>
      </c>
      <c r="G137" s="375">
        <v>0</v>
      </c>
      <c r="H137" s="379">
        <v>0</v>
      </c>
      <c r="I137" s="364"/>
      <c r="J137" s="364"/>
      <c r="K137" s="364"/>
      <c r="L137" s="627"/>
      <c r="M137" s="380"/>
      <c r="N137" s="263"/>
    </row>
    <row r="138" spans="1:15" ht="12.75" customHeight="1">
      <c r="A138" s="716"/>
      <c r="B138" s="719" t="s">
        <v>29</v>
      </c>
      <c r="C138" s="215" t="s">
        <v>14</v>
      </c>
      <c r="D138" s="722"/>
      <c r="E138" s="296">
        <f t="shared" si="6"/>
        <v>36587052.72</v>
      </c>
      <c r="F138" s="164">
        <f>F12+F21+F30+F33+F36+F51+F54+F57+F60+F63+F66+F69+F72+F75+F84+F87+F93+F96+F102+F105+F108+F111+F114+F117+F120+F123+F126+F132</f>
        <v>15851953.08</v>
      </c>
      <c r="G138" s="164">
        <f>G12+G21+G30+G33+G36+G51+G54+G57+G60+G63+G66+G69+G69+G72+G75+G84+G87+G93+G96+G102+G105+G108+G111+G114+G117+G120+G123+G126+G132</f>
        <v>11600542.059999999</v>
      </c>
      <c r="H138" s="164">
        <f>H12+H21+H30+H33+H36+H51+H54+H57+H60+H63+H66+H69+H69+H72+H75+H84+H87+H93+H96+H102+H105+H108+H111+H114+H117+H120+H123+H126+H129+H132+H90+H135</f>
        <v>5328555.119999999</v>
      </c>
      <c r="I138" s="164">
        <f>I12+I21+I30+I33+I36+I51+I54+I57+I60+I63+I66+I69+I69+I72+I75+I84+I87+I93+I96+I102+I105+I108+I111+I114+I117+I120+I123+I126+I132</f>
        <v>3806002.46</v>
      </c>
      <c r="J138" s="164">
        <f>J12+J21+J30+J33+J36+J51+J54+J57+J60+J63+J66+J69+J69+J72+J75+J84+J87+J93+J96+J102+J105+J108+J111+J114+J117+J120+J123+J126+J132</f>
        <v>0</v>
      </c>
      <c r="K138" s="166"/>
      <c r="L138" s="627"/>
      <c r="M138" s="380"/>
      <c r="N138" s="263"/>
      <c r="O138" s="261"/>
    </row>
    <row r="139" spans="1:16" ht="12.75" customHeight="1">
      <c r="A139" s="717"/>
      <c r="B139" s="720"/>
      <c r="C139" s="216" t="s">
        <v>16</v>
      </c>
      <c r="D139" s="723"/>
      <c r="E139" s="297">
        <f t="shared" si="6"/>
        <v>12904313.32</v>
      </c>
      <c r="F139" s="167">
        <f>F13+F22+F31+F34+F37+F52+F55+F58+F61+F64+F67+F70+F73+F76+F85+F88+F94+F97+F103+F106+F109+F112+F115+F118+F121+F124+F127+F133</f>
        <v>0</v>
      </c>
      <c r="G139" s="167">
        <f>G13+G22+G31+G34+G37+G52+G55+G58+G61+G64+G67+G70+G73+G76+G85+G88+G94+G97+G103+G106+G109+G112+G115+G118+G121+G124+G127+G133</f>
        <v>6133449.96</v>
      </c>
      <c r="H139" s="167">
        <f>H13+H22+H31+H34+H37+H52+H55+H58+H61+H64+H67+H70+H73+H76+H85+H88+H94+H97+H103+H106+H109+H112+H115+H118+H121+H124+H127+H130+H133+H91+H136</f>
        <v>6770863.360000001</v>
      </c>
      <c r="I139" s="167">
        <f>I13+I22+I31+I34+I37+I52+I55+I58+I61+I64+I67+I70+I73+I76+I85+I88+I94+I97+I103+I106+I109+I112+I115+I118+I121+I124+I127+I133</f>
        <v>0</v>
      </c>
      <c r="J139" s="167">
        <f>J13+J22+J31+J34+J37+J52+J55+J58+J61+J64+J67+J70+J73+J76+J85+J88+J94+J97+J103+J106+J109+J112+J115+J118+J121+J124+J127+J133</f>
        <v>0</v>
      </c>
      <c r="K139" s="169"/>
      <c r="L139" s="627"/>
      <c r="M139" s="381"/>
      <c r="N139" s="263"/>
      <c r="O139" s="261"/>
      <c r="P139" s="261"/>
    </row>
    <row r="140" spans="1:14" ht="12.75" customHeight="1" thickBot="1">
      <c r="A140" s="718"/>
      <c r="B140" s="721"/>
      <c r="C140" s="217" t="s">
        <v>17</v>
      </c>
      <c r="D140" s="724"/>
      <c r="E140" s="298">
        <f t="shared" si="6"/>
        <v>168588975.98</v>
      </c>
      <c r="F140" s="170">
        <f>F14+F23+F32+F35+F38+F53+F56+F59+F62+F65+F68+F71+F74+F77+F86+F89+F95+F98+F104+F107+F110+F113+F116+F119+F122+F125+F128+F134</f>
        <v>3752000</v>
      </c>
      <c r="G140" s="170">
        <f>G14+G23+G32+G35+G38+G53+G56+G59+G62+G65+G68+G71+G74+G77+G86+G89+G95+G98+G104+G107+G110+G113+G116+G119+G122+G125+G128+G134</f>
        <v>83520975.97999999</v>
      </c>
      <c r="H140" s="170">
        <f>H14+H23+H32+H35+H38+H53+H56+H59+H62+H65+H68+H71+H74+H77+H86+H89+H95+H98+H104+H107+H110+H113+H116+H119+H122+H125+H128+H131+H134</f>
        <v>48752000</v>
      </c>
      <c r="I140" s="170">
        <f>I14+I23+I32+I35+I38+I53+I56+I59+I62+I65+I68+I71+I74+I77+I86+I89+I95+I98+I104+I107+I110+I113+I116+I119+I122+I125+I128+I134</f>
        <v>32564000</v>
      </c>
      <c r="J140" s="170">
        <f>J14+J23+J32+J35+J38+J53+J56+J59+J62+J65+J68+J71+J74+J77+J86+J89+J95+J98+J104+J107+J110+J113+J116+J119+J122+J125+J128+J134</f>
        <v>0</v>
      </c>
      <c r="K140" s="171"/>
      <c r="L140" s="627"/>
      <c r="M140" s="381"/>
      <c r="N140" s="263"/>
    </row>
    <row r="141" spans="1:16" ht="12.75" customHeight="1" thickBot="1">
      <c r="A141" s="218"/>
      <c r="B141" s="219"/>
      <c r="C141" s="220"/>
      <c r="D141" s="221"/>
      <c r="E141" s="299"/>
      <c r="F141" s="220"/>
      <c r="G141" s="220"/>
      <c r="H141" s="220"/>
      <c r="I141" s="220"/>
      <c r="J141" s="222"/>
      <c r="K141" s="172"/>
      <c r="L141" s="627"/>
      <c r="M141" s="380"/>
      <c r="N141" s="1"/>
      <c r="P141" s="261"/>
    </row>
    <row r="142" spans="1:14" ht="16.5" customHeight="1" thickBot="1">
      <c r="A142" s="715" t="s">
        <v>30</v>
      </c>
      <c r="B142" s="715"/>
      <c r="C142" s="715"/>
      <c r="D142" s="715"/>
      <c r="E142" s="715"/>
      <c r="F142" s="715"/>
      <c r="G142" s="715"/>
      <c r="H142" s="715"/>
      <c r="I142" s="715"/>
      <c r="J142" s="715"/>
      <c r="K142" s="173"/>
      <c r="L142" s="627"/>
      <c r="M142" s="381"/>
      <c r="N142" s="1"/>
    </row>
    <row r="143" spans="1:16" s="66" customFormat="1" ht="17.25" customHeight="1" thickBot="1">
      <c r="A143" s="669" t="s">
        <v>174</v>
      </c>
      <c r="B143" s="680" t="s">
        <v>97</v>
      </c>
      <c r="C143" s="203" t="s">
        <v>14</v>
      </c>
      <c r="D143" s="673">
        <f>E143+E144+E145</f>
        <v>30809092.020000003</v>
      </c>
      <c r="E143" s="279">
        <f aca="true" t="shared" si="7" ref="E143:E157">SUM(F143:J143)</f>
        <v>29759592.020000003</v>
      </c>
      <c r="F143" s="115">
        <f>100000+11489726.59+933960.56</f>
        <v>12523687.15</v>
      </c>
      <c r="G143" s="115">
        <f>12568687.15+867217.72</f>
        <v>13435904.870000001</v>
      </c>
      <c r="H143" s="115">
        <v>0</v>
      </c>
      <c r="I143" s="115">
        <v>0</v>
      </c>
      <c r="J143" s="117">
        <f>J146+J149+J152+J155</f>
        <v>3800000</v>
      </c>
      <c r="K143" s="118"/>
      <c r="L143" s="627"/>
      <c r="M143" s="380"/>
      <c r="N143" s="262"/>
      <c r="P143" s="262"/>
    </row>
    <row r="144" spans="1:13" s="66" customFormat="1" ht="17.25" customHeight="1" thickBot="1">
      <c r="A144" s="669"/>
      <c r="B144" s="680"/>
      <c r="C144" s="205" t="s">
        <v>16</v>
      </c>
      <c r="D144" s="673"/>
      <c r="E144" s="280">
        <f t="shared" si="7"/>
        <v>1049500</v>
      </c>
      <c r="F144" s="119">
        <f>F147+F150+F153+F156</f>
        <v>0</v>
      </c>
      <c r="G144" s="119">
        <f aca="true" t="shared" si="8" ref="F144:J145">G147+G150+G153+G156</f>
        <v>1049500</v>
      </c>
      <c r="H144" s="119">
        <f t="shared" si="8"/>
        <v>0</v>
      </c>
      <c r="I144" s="119">
        <f t="shared" si="8"/>
        <v>0</v>
      </c>
      <c r="J144" s="121">
        <f t="shared" si="8"/>
        <v>0</v>
      </c>
      <c r="K144" s="122"/>
      <c r="L144" s="627"/>
      <c r="M144" s="380"/>
    </row>
    <row r="145" spans="1:14" s="66" customFormat="1" ht="14.25" customHeight="1" thickBot="1">
      <c r="A145" s="669"/>
      <c r="B145" s="680"/>
      <c r="C145" s="207" t="s">
        <v>17</v>
      </c>
      <c r="D145" s="673"/>
      <c r="E145" s="281">
        <f t="shared" si="7"/>
        <v>0</v>
      </c>
      <c r="F145" s="119">
        <f t="shared" si="8"/>
        <v>0</v>
      </c>
      <c r="G145" s="119">
        <f t="shared" si="8"/>
        <v>0</v>
      </c>
      <c r="H145" s="119">
        <f t="shared" si="8"/>
        <v>0</v>
      </c>
      <c r="I145" s="119">
        <f t="shared" si="8"/>
        <v>0</v>
      </c>
      <c r="J145" s="121">
        <f t="shared" si="8"/>
        <v>0</v>
      </c>
      <c r="K145" s="126"/>
      <c r="L145" s="627"/>
      <c r="M145" s="380"/>
      <c r="N145" s="262"/>
    </row>
    <row r="146" spans="1:13" s="108" customFormat="1" ht="17.25" customHeight="1" hidden="1">
      <c r="A146" s="711"/>
      <c r="B146" s="712" t="s">
        <v>93</v>
      </c>
      <c r="C146" s="209" t="s">
        <v>14</v>
      </c>
      <c r="D146" s="713">
        <f>E146+E147+E148</f>
        <v>4659802.46</v>
      </c>
      <c r="E146" s="300">
        <f t="shared" si="7"/>
        <v>4659802.46</v>
      </c>
      <c r="F146" s="127">
        <v>100000</v>
      </c>
      <c r="G146" s="127">
        <v>0</v>
      </c>
      <c r="H146" s="158">
        <v>0</v>
      </c>
      <c r="I146" s="127">
        <f>513102.46-5213.03+251913.03</f>
        <v>759802.46</v>
      </c>
      <c r="J146" s="139">
        <v>3800000</v>
      </c>
      <c r="K146" s="140"/>
      <c r="L146" s="627"/>
      <c r="M146" s="380"/>
    </row>
    <row r="147" spans="1:15" s="108" customFormat="1" ht="17.25" customHeight="1" hidden="1">
      <c r="A147" s="711"/>
      <c r="B147" s="712"/>
      <c r="C147" s="210" t="s">
        <v>16</v>
      </c>
      <c r="D147" s="713"/>
      <c r="E147" s="301">
        <f t="shared" si="7"/>
        <v>0</v>
      </c>
      <c r="F147" s="131">
        <v>0</v>
      </c>
      <c r="G147" s="131">
        <v>0</v>
      </c>
      <c r="H147" s="174">
        <v>0</v>
      </c>
      <c r="I147" s="131">
        <v>0</v>
      </c>
      <c r="J147" s="175">
        <v>0</v>
      </c>
      <c r="K147" s="176"/>
      <c r="L147" s="627"/>
      <c r="M147" s="380"/>
      <c r="O147" s="109"/>
    </row>
    <row r="148" spans="1:13" s="108" customFormat="1" ht="17.25" customHeight="1" hidden="1">
      <c r="A148" s="711"/>
      <c r="B148" s="712"/>
      <c r="C148" s="211" t="s">
        <v>17</v>
      </c>
      <c r="D148" s="713"/>
      <c r="E148" s="302">
        <f t="shared" si="7"/>
        <v>0</v>
      </c>
      <c r="F148" s="135">
        <v>0</v>
      </c>
      <c r="G148" s="135">
        <v>0</v>
      </c>
      <c r="H148" s="114">
        <v>0</v>
      </c>
      <c r="I148" s="135">
        <v>0</v>
      </c>
      <c r="J148" s="177">
        <v>0</v>
      </c>
      <c r="K148" s="178"/>
      <c r="L148" s="627"/>
      <c r="M148" s="380"/>
    </row>
    <row r="149" spans="1:13" s="108" customFormat="1" ht="17.25" customHeight="1" hidden="1">
      <c r="A149" s="711"/>
      <c r="B149" s="712" t="s">
        <v>94</v>
      </c>
      <c r="C149" s="209" t="s">
        <v>14</v>
      </c>
      <c r="D149" s="714">
        <f>E149+E150+E151</f>
        <v>25975131.46</v>
      </c>
      <c r="E149" s="300">
        <f t="shared" si="7"/>
        <v>24925631.46</v>
      </c>
      <c r="F149" s="127">
        <v>11489726.59</v>
      </c>
      <c r="G149" s="158">
        <v>13435904.87</v>
      </c>
      <c r="H149" s="158">
        <v>0</v>
      </c>
      <c r="I149" s="127">
        <v>0</v>
      </c>
      <c r="J149" s="139">
        <v>0</v>
      </c>
      <c r="K149" s="140"/>
      <c r="L149" s="627"/>
      <c r="M149" s="380"/>
    </row>
    <row r="150" spans="1:13" s="108" customFormat="1" ht="17.25" customHeight="1" hidden="1">
      <c r="A150" s="711"/>
      <c r="B150" s="712"/>
      <c r="C150" s="210" t="s">
        <v>16</v>
      </c>
      <c r="D150" s="714"/>
      <c r="E150" s="301">
        <f t="shared" si="7"/>
        <v>1049500</v>
      </c>
      <c r="F150" s="131">
        <v>0</v>
      </c>
      <c r="G150" s="174">
        <v>1049500</v>
      </c>
      <c r="H150" s="174">
        <v>0</v>
      </c>
      <c r="I150" s="131">
        <v>0</v>
      </c>
      <c r="J150" s="175">
        <v>0</v>
      </c>
      <c r="K150" s="176"/>
      <c r="L150" s="627"/>
      <c r="M150" s="380"/>
    </row>
    <row r="151" spans="1:13" s="108" customFormat="1" ht="17.25" customHeight="1" hidden="1">
      <c r="A151" s="711"/>
      <c r="B151" s="712"/>
      <c r="C151" s="211" t="s">
        <v>17</v>
      </c>
      <c r="D151" s="714"/>
      <c r="E151" s="302">
        <f t="shared" si="7"/>
        <v>0</v>
      </c>
      <c r="F151" s="135">
        <v>0</v>
      </c>
      <c r="G151" s="135">
        <v>0</v>
      </c>
      <c r="H151" s="114">
        <v>0</v>
      </c>
      <c r="I151" s="135">
        <v>0</v>
      </c>
      <c r="J151" s="177">
        <v>0</v>
      </c>
      <c r="K151" s="178"/>
      <c r="L151" s="627"/>
      <c r="M151" s="380"/>
    </row>
    <row r="152" spans="1:13" s="108" customFormat="1" ht="17.25" customHeight="1" hidden="1">
      <c r="A152" s="711"/>
      <c r="B152" s="712" t="s">
        <v>95</v>
      </c>
      <c r="C152" s="209" t="s">
        <v>14</v>
      </c>
      <c r="D152" s="713">
        <f>E152+E153+E154</f>
        <v>0</v>
      </c>
      <c r="E152" s="301">
        <f t="shared" si="7"/>
        <v>0</v>
      </c>
      <c r="F152" s="127">
        <v>0</v>
      </c>
      <c r="G152" s="127">
        <v>0</v>
      </c>
      <c r="H152" s="158">
        <v>0</v>
      </c>
      <c r="I152" s="127">
        <v>0</v>
      </c>
      <c r="J152" s="139">
        <v>0</v>
      </c>
      <c r="K152" s="140"/>
      <c r="L152" s="627"/>
      <c r="M152" s="380"/>
    </row>
    <row r="153" spans="1:13" s="108" customFormat="1" ht="17.25" customHeight="1" hidden="1">
      <c r="A153" s="711"/>
      <c r="B153" s="712"/>
      <c r="C153" s="210" t="s">
        <v>16</v>
      </c>
      <c r="D153" s="713"/>
      <c r="E153" s="301">
        <f t="shared" si="7"/>
        <v>0</v>
      </c>
      <c r="F153" s="131">
        <v>0</v>
      </c>
      <c r="G153" s="131">
        <v>0</v>
      </c>
      <c r="H153" s="131">
        <v>0</v>
      </c>
      <c r="I153" s="131">
        <v>0</v>
      </c>
      <c r="J153" s="175">
        <v>0</v>
      </c>
      <c r="K153" s="176"/>
      <c r="L153" s="627"/>
      <c r="M153" s="380"/>
    </row>
    <row r="154" spans="1:13" s="108" customFormat="1" ht="17.25" customHeight="1" hidden="1">
      <c r="A154" s="711"/>
      <c r="B154" s="712"/>
      <c r="C154" s="211" t="s">
        <v>17</v>
      </c>
      <c r="D154" s="713"/>
      <c r="E154" s="301">
        <f t="shared" si="7"/>
        <v>0</v>
      </c>
      <c r="F154" s="135">
        <v>0</v>
      </c>
      <c r="G154" s="135">
        <v>0</v>
      </c>
      <c r="H154" s="135">
        <v>0</v>
      </c>
      <c r="I154" s="135">
        <v>0</v>
      </c>
      <c r="J154" s="177">
        <v>0</v>
      </c>
      <c r="K154" s="178"/>
      <c r="L154" s="627"/>
      <c r="M154" s="380"/>
    </row>
    <row r="155" spans="1:13" s="108" customFormat="1" ht="17.25" customHeight="1" hidden="1">
      <c r="A155" s="711"/>
      <c r="B155" s="712" t="s">
        <v>96</v>
      </c>
      <c r="C155" s="209" t="s">
        <v>14</v>
      </c>
      <c r="D155" s="713">
        <f>E155+E156+E157</f>
        <v>0</v>
      </c>
      <c r="E155" s="300">
        <f t="shared" si="7"/>
        <v>0</v>
      </c>
      <c r="F155" s="127">
        <v>0</v>
      </c>
      <c r="G155" s="127">
        <v>0</v>
      </c>
      <c r="H155" s="127">
        <v>0</v>
      </c>
      <c r="I155" s="127">
        <v>0</v>
      </c>
      <c r="J155" s="139">
        <v>0</v>
      </c>
      <c r="K155" s="140"/>
      <c r="L155" s="627"/>
      <c r="M155" s="380"/>
    </row>
    <row r="156" spans="1:13" s="108" customFormat="1" ht="17.25" customHeight="1" hidden="1">
      <c r="A156" s="711"/>
      <c r="B156" s="712"/>
      <c r="C156" s="210" t="s">
        <v>16</v>
      </c>
      <c r="D156" s="713"/>
      <c r="E156" s="301">
        <f t="shared" si="7"/>
        <v>0</v>
      </c>
      <c r="F156" s="131">
        <v>0</v>
      </c>
      <c r="G156" s="131">
        <v>0</v>
      </c>
      <c r="H156" s="131">
        <v>0</v>
      </c>
      <c r="I156" s="131">
        <v>0</v>
      </c>
      <c r="J156" s="175">
        <v>0</v>
      </c>
      <c r="K156" s="176"/>
      <c r="L156" s="627"/>
      <c r="M156" s="380"/>
    </row>
    <row r="157" spans="1:13" s="108" customFormat="1" ht="17.25" customHeight="1" hidden="1">
      <c r="A157" s="711"/>
      <c r="B157" s="712"/>
      <c r="C157" s="211" t="s">
        <v>17</v>
      </c>
      <c r="D157" s="713"/>
      <c r="E157" s="302">
        <f t="shared" si="7"/>
        <v>0</v>
      </c>
      <c r="F157" s="135">
        <v>0</v>
      </c>
      <c r="G157" s="135">
        <v>0</v>
      </c>
      <c r="H157" s="135">
        <v>0</v>
      </c>
      <c r="I157" s="135">
        <v>0</v>
      </c>
      <c r="J157" s="177">
        <v>0</v>
      </c>
      <c r="K157" s="178"/>
      <c r="L157" s="627"/>
      <c r="M157" s="380"/>
    </row>
    <row r="158" spans="1:13" s="66" customFormat="1" ht="17.25" customHeight="1" thickBot="1">
      <c r="A158" s="705"/>
      <c r="B158" s="706" t="s">
        <v>47</v>
      </c>
      <c r="C158" s="215" t="s">
        <v>14</v>
      </c>
      <c r="D158" s="707"/>
      <c r="E158" s="296">
        <f aca="true" t="shared" si="9" ref="E158:J160">E143</f>
        <v>29759592.020000003</v>
      </c>
      <c r="F158" s="164">
        <f t="shared" si="9"/>
        <v>12523687.15</v>
      </c>
      <c r="G158" s="164">
        <f t="shared" si="9"/>
        <v>13435904.870000001</v>
      </c>
      <c r="H158" s="164">
        <v>0</v>
      </c>
      <c r="I158" s="164">
        <f t="shared" si="9"/>
        <v>0</v>
      </c>
      <c r="J158" s="165">
        <f t="shared" si="9"/>
        <v>3800000</v>
      </c>
      <c r="K158" s="166"/>
      <c r="L158" s="627"/>
      <c r="M158" s="380"/>
    </row>
    <row r="159" spans="1:15" s="66" customFormat="1" ht="17.25" customHeight="1" thickBot="1">
      <c r="A159" s="705"/>
      <c r="B159" s="706"/>
      <c r="C159" s="216" t="s">
        <v>16</v>
      </c>
      <c r="D159" s="707"/>
      <c r="E159" s="297">
        <f t="shared" si="9"/>
        <v>1049500</v>
      </c>
      <c r="F159" s="167">
        <f t="shared" si="9"/>
        <v>0</v>
      </c>
      <c r="G159" s="167">
        <f t="shared" si="9"/>
        <v>1049500</v>
      </c>
      <c r="H159" s="167">
        <f t="shared" si="9"/>
        <v>0</v>
      </c>
      <c r="I159" s="167">
        <f t="shared" si="9"/>
        <v>0</v>
      </c>
      <c r="J159" s="168">
        <f t="shared" si="9"/>
        <v>0</v>
      </c>
      <c r="K159" s="169"/>
      <c r="L159" s="627"/>
      <c r="M159" s="380"/>
      <c r="N159" s="262"/>
      <c r="O159" s="262"/>
    </row>
    <row r="160" spans="1:13" s="66" customFormat="1" ht="16.5" customHeight="1" thickBot="1">
      <c r="A160" s="705"/>
      <c r="B160" s="706"/>
      <c r="C160" s="217" t="s">
        <v>17</v>
      </c>
      <c r="D160" s="707"/>
      <c r="E160" s="298">
        <f t="shared" si="9"/>
        <v>0</v>
      </c>
      <c r="F160" s="170">
        <f t="shared" si="9"/>
        <v>0</v>
      </c>
      <c r="G160" s="170">
        <f t="shared" si="9"/>
        <v>0</v>
      </c>
      <c r="H160" s="170">
        <f t="shared" si="9"/>
        <v>0</v>
      </c>
      <c r="I160" s="170">
        <f t="shared" si="9"/>
        <v>0</v>
      </c>
      <c r="J160" s="170">
        <f t="shared" si="9"/>
        <v>0</v>
      </c>
      <c r="K160" s="171"/>
      <c r="L160" s="627"/>
      <c r="M160" s="380"/>
    </row>
    <row r="161" spans="1:13" ht="17.25" customHeight="1" hidden="1">
      <c r="A161" s="708"/>
      <c r="B161" s="709"/>
      <c r="C161" s="223"/>
      <c r="D161" s="710"/>
      <c r="E161" s="223"/>
      <c r="F161" s="223"/>
      <c r="G161" s="223"/>
      <c r="H161" s="223"/>
      <c r="I161" s="223"/>
      <c r="J161" s="223"/>
      <c r="K161" s="179"/>
      <c r="L161" s="627"/>
      <c r="M161" s="380"/>
    </row>
    <row r="162" spans="1:13" ht="17.25" customHeight="1" hidden="1">
      <c r="A162" s="708"/>
      <c r="B162" s="709"/>
      <c r="C162" s="224"/>
      <c r="D162" s="710"/>
      <c r="E162" s="224"/>
      <c r="F162" s="224"/>
      <c r="G162" s="224"/>
      <c r="H162" s="224"/>
      <c r="I162" s="224"/>
      <c r="J162" s="224"/>
      <c r="K162" s="179"/>
      <c r="L162" s="627"/>
      <c r="M162" s="380"/>
    </row>
    <row r="163" spans="1:13" ht="17.25" customHeight="1" hidden="1">
      <c r="A163" s="708"/>
      <c r="B163" s="709"/>
      <c r="C163" s="225"/>
      <c r="D163" s="710"/>
      <c r="E163" s="225"/>
      <c r="F163" s="225"/>
      <c r="G163" s="225"/>
      <c r="H163" s="225"/>
      <c r="I163" s="225"/>
      <c r="J163" s="225"/>
      <c r="K163" s="180"/>
      <c r="L163" s="627"/>
      <c r="M163" s="380"/>
    </row>
    <row r="164" spans="1:13" ht="17.25" customHeight="1" hidden="1">
      <c r="A164" s="226"/>
      <c r="B164" s="227"/>
      <c r="C164" s="224"/>
      <c r="D164" s="228"/>
      <c r="E164" s="224"/>
      <c r="F164" s="224"/>
      <c r="G164" s="224"/>
      <c r="H164" s="224"/>
      <c r="I164" s="224"/>
      <c r="J164" s="224"/>
      <c r="K164" s="179"/>
      <c r="L164" s="627"/>
      <c r="M164" s="380"/>
    </row>
    <row r="165" spans="1:13" ht="18" customHeight="1" thickBot="1">
      <c r="A165" s="704" t="s">
        <v>48</v>
      </c>
      <c r="B165" s="704"/>
      <c r="C165" s="704"/>
      <c r="D165" s="704"/>
      <c r="E165" s="704"/>
      <c r="F165" s="704"/>
      <c r="G165" s="704"/>
      <c r="H165" s="704"/>
      <c r="I165" s="704"/>
      <c r="J165" s="704"/>
      <c r="K165" s="181"/>
      <c r="L165" s="627"/>
      <c r="M165" s="380"/>
    </row>
    <row r="166" spans="1:13" ht="15" customHeight="1" thickBot="1">
      <c r="A166" s="669" t="s">
        <v>175</v>
      </c>
      <c r="B166" s="680" t="s">
        <v>49</v>
      </c>
      <c r="C166" s="203" t="s">
        <v>14</v>
      </c>
      <c r="D166" s="692">
        <v>450000</v>
      </c>
      <c r="E166" s="303">
        <f aca="true" t="shared" si="10" ref="E166:E229">SUM(F166:J166)</f>
        <v>45899.6</v>
      </c>
      <c r="F166" s="119">
        <f>45000+899.6</f>
        <v>45899.6</v>
      </c>
      <c r="G166" s="203">
        <v>0</v>
      </c>
      <c r="H166" s="203">
        <v>0</v>
      </c>
      <c r="I166" s="203">
        <v>0</v>
      </c>
      <c r="J166" s="204">
        <v>0</v>
      </c>
      <c r="K166" s="667" t="s">
        <v>129</v>
      </c>
      <c r="L166" s="627"/>
      <c r="M166" s="380"/>
    </row>
    <row r="167" spans="1:13" ht="15" customHeight="1" thickBot="1">
      <c r="A167" s="669"/>
      <c r="B167" s="680"/>
      <c r="C167" s="205" t="s">
        <v>16</v>
      </c>
      <c r="D167" s="692"/>
      <c r="E167" s="304">
        <f t="shared" si="10"/>
        <v>405000</v>
      </c>
      <c r="F167" s="119">
        <f>405000</f>
        <v>405000</v>
      </c>
      <c r="G167" s="205">
        <v>0</v>
      </c>
      <c r="H167" s="205">
        <v>0</v>
      </c>
      <c r="I167" s="205">
        <v>0</v>
      </c>
      <c r="J167" s="206">
        <v>0</v>
      </c>
      <c r="K167" s="733"/>
      <c r="L167" s="627"/>
      <c r="M167" s="380"/>
    </row>
    <row r="168" spans="1:13" ht="15" customHeight="1" thickBot="1">
      <c r="A168" s="669"/>
      <c r="B168" s="680"/>
      <c r="C168" s="207" t="s">
        <v>17</v>
      </c>
      <c r="D168" s="692"/>
      <c r="E168" s="304">
        <v>0</v>
      </c>
      <c r="F168" s="123">
        <v>0</v>
      </c>
      <c r="G168" s="207" t="s">
        <v>182</v>
      </c>
      <c r="H168" s="207">
        <v>0</v>
      </c>
      <c r="I168" s="207">
        <v>0</v>
      </c>
      <c r="J168" s="208">
        <v>0</v>
      </c>
      <c r="K168" s="733"/>
      <c r="L168" s="627"/>
      <c r="M168" s="380"/>
    </row>
    <row r="169" spans="1:13" ht="15" customHeight="1" thickBot="1">
      <c r="A169" s="669" t="s">
        <v>176</v>
      </c>
      <c r="B169" s="680" t="s">
        <v>130</v>
      </c>
      <c r="C169" s="203" t="s">
        <v>14</v>
      </c>
      <c r="D169" s="692">
        <f>D172+D175+D178+D181+D184+D187</f>
        <v>41563500</v>
      </c>
      <c r="E169" s="305">
        <f t="shared" si="10"/>
        <v>0</v>
      </c>
      <c r="F169" s="203">
        <f aca="true" t="shared" si="11" ref="F169:J171">F172+F175+F178+F181+F184+F187</f>
        <v>0</v>
      </c>
      <c r="G169" s="203">
        <f t="shared" si="11"/>
        <v>0</v>
      </c>
      <c r="H169" s="203">
        <f t="shared" si="11"/>
        <v>0</v>
      </c>
      <c r="I169" s="203">
        <f t="shared" si="11"/>
        <v>0</v>
      </c>
      <c r="J169" s="204">
        <f t="shared" si="11"/>
        <v>0</v>
      </c>
      <c r="K169" s="733"/>
      <c r="L169" s="627"/>
      <c r="M169" s="380"/>
    </row>
    <row r="170" spans="1:13" ht="15" customHeight="1" thickBot="1">
      <c r="A170" s="669"/>
      <c r="B170" s="680"/>
      <c r="C170" s="205" t="s">
        <v>16</v>
      </c>
      <c r="D170" s="692"/>
      <c r="E170" s="306">
        <f t="shared" si="10"/>
        <v>0</v>
      </c>
      <c r="F170" s="205">
        <f t="shared" si="11"/>
        <v>0</v>
      </c>
      <c r="G170" s="205">
        <f t="shared" si="11"/>
        <v>0</v>
      </c>
      <c r="H170" s="205">
        <f t="shared" si="11"/>
        <v>0</v>
      </c>
      <c r="I170" s="205">
        <f t="shared" si="11"/>
        <v>0</v>
      </c>
      <c r="J170" s="205">
        <f t="shared" si="11"/>
        <v>0</v>
      </c>
      <c r="K170" s="733"/>
      <c r="L170" s="627"/>
      <c r="M170" s="339"/>
    </row>
    <row r="171" spans="1:13" ht="15" customHeight="1" thickBot="1">
      <c r="A171" s="669"/>
      <c r="B171" s="680"/>
      <c r="C171" s="207" t="s">
        <v>17</v>
      </c>
      <c r="D171" s="692"/>
      <c r="E171" s="307">
        <f t="shared" si="10"/>
        <v>0</v>
      </c>
      <c r="F171" s="207">
        <f t="shared" si="11"/>
        <v>0</v>
      </c>
      <c r="G171" s="207">
        <f t="shared" si="11"/>
        <v>0</v>
      </c>
      <c r="H171" s="207">
        <f t="shared" si="11"/>
        <v>0</v>
      </c>
      <c r="I171" s="207">
        <f t="shared" si="11"/>
        <v>0</v>
      </c>
      <c r="J171" s="207">
        <f t="shared" si="11"/>
        <v>0</v>
      </c>
      <c r="K171" s="733"/>
      <c r="L171" s="627"/>
      <c r="M171" s="339"/>
    </row>
    <row r="172" spans="1:13" ht="13.5" customHeight="1" hidden="1">
      <c r="A172" s="694"/>
      <c r="B172" s="694" t="s">
        <v>98</v>
      </c>
      <c r="C172" s="229" t="s">
        <v>14</v>
      </c>
      <c r="D172" s="703">
        <v>2601500</v>
      </c>
      <c r="E172" s="308">
        <f t="shared" si="10"/>
        <v>0</v>
      </c>
      <c r="F172" s="229">
        <v>0</v>
      </c>
      <c r="G172" s="212">
        <v>0</v>
      </c>
      <c r="H172" s="229">
        <v>0</v>
      </c>
      <c r="I172" s="229">
        <v>0</v>
      </c>
      <c r="J172" s="230">
        <v>0</v>
      </c>
      <c r="K172" s="733"/>
      <c r="L172" s="627"/>
      <c r="M172" s="339"/>
    </row>
    <row r="173" spans="1:13" ht="13.5" customHeight="1" hidden="1">
      <c r="A173" s="694"/>
      <c r="B173" s="694"/>
      <c r="C173" s="231" t="s">
        <v>16</v>
      </c>
      <c r="D173" s="703"/>
      <c r="E173" s="309">
        <f t="shared" si="10"/>
        <v>0</v>
      </c>
      <c r="F173" s="231">
        <v>0</v>
      </c>
      <c r="G173" s="213">
        <v>0</v>
      </c>
      <c r="H173" s="231">
        <v>0</v>
      </c>
      <c r="I173" s="231">
        <v>0</v>
      </c>
      <c r="J173" s="232">
        <v>0</v>
      </c>
      <c r="K173" s="733"/>
      <c r="L173" s="627"/>
      <c r="M173" s="339"/>
    </row>
    <row r="174" spans="1:13" ht="13.5" customHeight="1" hidden="1">
      <c r="A174" s="694"/>
      <c r="B174" s="694"/>
      <c r="C174" s="233" t="s">
        <v>17</v>
      </c>
      <c r="D174" s="703"/>
      <c r="E174" s="310">
        <f t="shared" si="10"/>
        <v>0</v>
      </c>
      <c r="F174" s="233">
        <v>0</v>
      </c>
      <c r="G174" s="233" t="s">
        <v>182</v>
      </c>
      <c r="H174" s="233">
        <v>0</v>
      </c>
      <c r="I174" s="233">
        <v>0</v>
      </c>
      <c r="J174" s="234">
        <v>0</v>
      </c>
      <c r="K174" s="733"/>
      <c r="L174" s="627"/>
      <c r="M174" s="339"/>
    </row>
    <row r="175" spans="1:13" ht="13.5" customHeight="1" hidden="1">
      <c r="A175" s="694"/>
      <c r="B175" s="694" t="s">
        <v>99</v>
      </c>
      <c r="C175" s="229" t="s">
        <v>14</v>
      </c>
      <c r="D175" s="696" t="s">
        <v>145</v>
      </c>
      <c r="E175" s="308">
        <f t="shared" si="10"/>
        <v>0</v>
      </c>
      <c r="F175" s="229">
        <v>0</v>
      </c>
      <c r="G175" s="229">
        <v>0</v>
      </c>
      <c r="H175" s="229">
        <v>0</v>
      </c>
      <c r="I175" s="229">
        <v>0</v>
      </c>
      <c r="J175" s="230">
        <v>0</v>
      </c>
      <c r="K175" s="733"/>
      <c r="L175" s="627"/>
      <c r="M175" s="339"/>
    </row>
    <row r="176" spans="1:13" ht="13.5" customHeight="1" hidden="1">
      <c r="A176" s="694"/>
      <c r="B176" s="694"/>
      <c r="C176" s="231" t="s">
        <v>16</v>
      </c>
      <c r="D176" s="696"/>
      <c r="E176" s="309">
        <f t="shared" si="10"/>
        <v>0</v>
      </c>
      <c r="F176" s="231">
        <v>0</v>
      </c>
      <c r="G176" s="231">
        <v>0</v>
      </c>
      <c r="H176" s="231">
        <v>0</v>
      </c>
      <c r="I176" s="231">
        <v>0</v>
      </c>
      <c r="J176" s="232">
        <v>0</v>
      </c>
      <c r="K176" s="733"/>
      <c r="L176" s="627"/>
      <c r="M176" s="339"/>
    </row>
    <row r="177" spans="1:13" ht="13.5" customHeight="1" hidden="1">
      <c r="A177" s="694"/>
      <c r="B177" s="694"/>
      <c r="C177" s="233" t="s">
        <v>17</v>
      </c>
      <c r="D177" s="696"/>
      <c r="E177" s="311">
        <f t="shared" si="10"/>
        <v>0</v>
      </c>
      <c r="F177" s="233">
        <v>0</v>
      </c>
      <c r="G177" s="233">
        <v>0</v>
      </c>
      <c r="H177" s="233">
        <v>0</v>
      </c>
      <c r="I177" s="233">
        <v>0</v>
      </c>
      <c r="J177" s="234">
        <v>0</v>
      </c>
      <c r="K177" s="733"/>
      <c r="L177" s="627"/>
      <c r="M177" s="339"/>
    </row>
    <row r="178" spans="1:13" ht="13.5" customHeight="1" hidden="1">
      <c r="A178" s="694"/>
      <c r="B178" s="694" t="s">
        <v>100</v>
      </c>
      <c r="C178" s="229" t="s">
        <v>14</v>
      </c>
      <c r="D178" s="696" t="s">
        <v>144</v>
      </c>
      <c r="E178" s="308">
        <f t="shared" si="10"/>
        <v>0</v>
      </c>
      <c r="F178" s="229">
        <v>0</v>
      </c>
      <c r="G178" s="229">
        <v>0</v>
      </c>
      <c r="H178" s="229">
        <v>0</v>
      </c>
      <c r="I178" s="229">
        <v>0</v>
      </c>
      <c r="J178" s="230">
        <v>0</v>
      </c>
      <c r="K178" s="733"/>
      <c r="L178" s="627"/>
      <c r="M178" s="339"/>
    </row>
    <row r="179" spans="1:13" ht="13.5" customHeight="1" hidden="1">
      <c r="A179" s="694"/>
      <c r="B179" s="694"/>
      <c r="C179" s="231" t="s">
        <v>16</v>
      </c>
      <c r="D179" s="696"/>
      <c r="E179" s="309">
        <f t="shared" si="10"/>
        <v>0</v>
      </c>
      <c r="F179" s="231">
        <v>0</v>
      </c>
      <c r="G179" s="231">
        <v>0</v>
      </c>
      <c r="H179" s="231">
        <v>0</v>
      </c>
      <c r="I179" s="231">
        <v>0</v>
      </c>
      <c r="J179" s="232">
        <v>0</v>
      </c>
      <c r="K179" s="733"/>
      <c r="L179" s="627"/>
      <c r="M179" s="339"/>
    </row>
    <row r="180" spans="1:13" ht="12" customHeight="1" hidden="1">
      <c r="A180" s="694"/>
      <c r="B180" s="694"/>
      <c r="C180" s="233" t="s">
        <v>17</v>
      </c>
      <c r="D180" s="696"/>
      <c r="E180" s="311">
        <f t="shared" si="10"/>
        <v>0</v>
      </c>
      <c r="F180" s="233">
        <v>0</v>
      </c>
      <c r="G180" s="233">
        <v>0</v>
      </c>
      <c r="H180" s="233">
        <v>0</v>
      </c>
      <c r="I180" s="233">
        <v>0</v>
      </c>
      <c r="J180" s="234">
        <v>0</v>
      </c>
      <c r="K180" s="733"/>
      <c r="L180" s="627"/>
      <c r="M180" s="339"/>
    </row>
    <row r="181" spans="1:14" ht="13.5" customHeight="1" hidden="1">
      <c r="A181" s="694"/>
      <c r="B181" s="694" t="s">
        <v>103</v>
      </c>
      <c r="C181" s="229" t="s">
        <v>14</v>
      </c>
      <c r="D181" s="695" t="s">
        <v>143</v>
      </c>
      <c r="E181" s="308">
        <f t="shared" si="10"/>
        <v>0</v>
      </c>
      <c r="F181" s="229">
        <v>0</v>
      </c>
      <c r="G181" s="212">
        <v>0</v>
      </c>
      <c r="H181" s="212">
        <v>0</v>
      </c>
      <c r="I181" s="229">
        <v>0</v>
      </c>
      <c r="J181" s="230">
        <v>0</v>
      </c>
      <c r="K181" s="733"/>
      <c r="L181" s="627"/>
      <c r="M181" s="339"/>
      <c r="N181" s="49"/>
    </row>
    <row r="182" spans="1:14" ht="13.5" customHeight="1" hidden="1">
      <c r="A182" s="694"/>
      <c r="B182" s="694"/>
      <c r="C182" s="231" t="s">
        <v>16</v>
      </c>
      <c r="D182" s="695"/>
      <c r="E182" s="309">
        <f t="shared" si="10"/>
        <v>0</v>
      </c>
      <c r="F182" s="231">
        <v>0</v>
      </c>
      <c r="G182" s="213">
        <v>0</v>
      </c>
      <c r="H182" s="213">
        <v>0</v>
      </c>
      <c r="I182" s="231">
        <v>0</v>
      </c>
      <c r="J182" s="232">
        <v>0</v>
      </c>
      <c r="K182" s="733"/>
      <c r="L182" s="627"/>
      <c r="M182" s="339"/>
      <c r="N182" s="49"/>
    </row>
    <row r="183" spans="1:13" ht="13.5" customHeight="1" hidden="1">
      <c r="A183" s="694"/>
      <c r="B183" s="694"/>
      <c r="C183" s="233" t="s">
        <v>17</v>
      </c>
      <c r="D183" s="695"/>
      <c r="E183" s="311">
        <f t="shared" si="10"/>
        <v>0</v>
      </c>
      <c r="F183" s="233">
        <v>0</v>
      </c>
      <c r="G183" s="214">
        <v>0</v>
      </c>
      <c r="H183" s="214">
        <v>0</v>
      </c>
      <c r="I183" s="233">
        <v>0</v>
      </c>
      <c r="J183" s="234">
        <v>0</v>
      </c>
      <c r="K183" s="733"/>
      <c r="L183" s="627"/>
      <c r="M183" s="339"/>
    </row>
    <row r="184" spans="1:13" ht="13.5" customHeight="1" hidden="1">
      <c r="A184" s="694"/>
      <c r="B184" s="694" t="s">
        <v>101</v>
      </c>
      <c r="C184" s="229" t="s">
        <v>14</v>
      </c>
      <c r="D184" s="695" t="s">
        <v>142</v>
      </c>
      <c r="E184" s="308">
        <f t="shared" si="10"/>
        <v>0</v>
      </c>
      <c r="F184" s="229">
        <v>0</v>
      </c>
      <c r="G184" s="229">
        <v>0</v>
      </c>
      <c r="H184" s="212">
        <v>0</v>
      </c>
      <c r="I184" s="212">
        <v>0</v>
      </c>
      <c r="J184" s="230" t="s">
        <v>156</v>
      </c>
      <c r="K184" s="733"/>
      <c r="L184" s="627"/>
      <c r="M184" s="339"/>
    </row>
    <row r="185" spans="1:13" ht="13.5" customHeight="1" hidden="1">
      <c r="A185" s="694"/>
      <c r="B185" s="694"/>
      <c r="C185" s="231" t="s">
        <v>16</v>
      </c>
      <c r="D185" s="695"/>
      <c r="E185" s="309">
        <f t="shared" si="10"/>
        <v>0</v>
      </c>
      <c r="F185" s="231">
        <v>0</v>
      </c>
      <c r="G185" s="231">
        <v>0</v>
      </c>
      <c r="H185" s="231">
        <v>0</v>
      </c>
      <c r="I185" s="231">
        <v>0</v>
      </c>
      <c r="J185" s="232">
        <v>0</v>
      </c>
      <c r="K185" s="733"/>
      <c r="L185" s="627"/>
      <c r="M185" s="339"/>
    </row>
    <row r="186" spans="1:13" ht="13.5" customHeight="1" hidden="1">
      <c r="A186" s="694"/>
      <c r="B186" s="694"/>
      <c r="C186" s="233" t="s">
        <v>17</v>
      </c>
      <c r="D186" s="695"/>
      <c r="E186" s="311">
        <f t="shared" si="10"/>
        <v>0</v>
      </c>
      <c r="F186" s="233">
        <v>0</v>
      </c>
      <c r="G186" s="233">
        <v>0</v>
      </c>
      <c r="H186" s="233">
        <v>0</v>
      </c>
      <c r="I186" s="233">
        <v>0</v>
      </c>
      <c r="J186" s="234">
        <v>0</v>
      </c>
      <c r="K186" s="733"/>
      <c r="L186" s="627"/>
      <c r="M186" s="339"/>
    </row>
    <row r="187" spans="1:15" ht="13.5" customHeight="1" hidden="1">
      <c r="A187" s="694"/>
      <c r="B187" s="694" t="s">
        <v>102</v>
      </c>
      <c r="C187" s="229" t="s">
        <v>14</v>
      </c>
      <c r="D187" s="695">
        <f>E187+E188+E189</f>
        <v>0</v>
      </c>
      <c r="E187" s="308">
        <f t="shared" si="10"/>
        <v>0</v>
      </c>
      <c r="F187" s="229">
        <v>0</v>
      </c>
      <c r="G187" s="229">
        <v>0</v>
      </c>
      <c r="H187" s="229">
        <v>0</v>
      </c>
      <c r="I187" s="229">
        <v>0</v>
      </c>
      <c r="J187" s="230">
        <v>0</v>
      </c>
      <c r="K187" s="733"/>
      <c r="L187" s="627"/>
      <c r="M187" s="339"/>
      <c r="O187" s="49"/>
    </row>
    <row r="188" spans="1:13" ht="13.5" customHeight="1" hidden="1">
      <c r="A188" s="694"/>
      <c r="B188" s="694"/>
      <c r="C188" s="231" t="s">
        <v>16</v>
      </c>
      <c r="D188" s="695"/>
      <c r="E188" s="309">
        <f t="shared" si="10"/>
        <v>0</v>
      </c>
      <c r="F188" s="231">
        <v>0</v>
      </c>
      <c r="G188" s="231">
        <v>0</v>
      </c>
      <c r="H188" s="231">
        <v>0</v>
      </c>
      <c r="I188" s="231">
        <v>0</v>
      </c>
      <c r="J188" s="232">
        <v>0</v>
      </c>
      <c r="K188" s="733"/>
      <c r="L188" s="627"/>
      <c r="M188" s="339"/>
    </row>
    <row r="189" spans="1:13" ht="13.5" customHeight="1" hidden="1">
      <c r="A189" s="694"/>
      <c r="B189" s="694"/>
      <c r="C189" s="233" t="s">
        <v>17</v>
      </c>
      <c r="D189" s="695"/>
      <c r="E189" s="311">
        <f t="shared" si="10"/>
        <v>0</v>
      </c>
      <c r="F189" s="233">
        <v>0</v>
      </c>
      <c r="G189" s="233">
        <v>0</v>
      </c>
      <c r="H189" s="233">
        <v>0</v>
      </c>
      <c r="I189" s="233">
        <v>0</v>
      </c>
      <c r="J189" s="234">
        <v>0</v>
      </c>
      <c r="K189" s="733"/>
      <c r="L189" s="627"/>
      <c r="M189" s="339"/>
    </row>
    <row r="190" spans="1:13" ht="13.5" customHeight="1" thickBot="1">
      <c r="A190" s="674" t="s">
        <v>177</v>
      </c>
      <c r="B190" s="680" t="s">
        <v>131</v>
      </c>
      <c r="C190" s="203" t="s">
        <v>14</v>
      </c>
      <c r="D190" s="692">
        <f>D193+D196+D199</f>
        <v>4244000</v>
      </c>
      <c r="E190" s="305">
        <f t="shared" si="10"/>
        <v>0</v>
      </c>
      <c r="F190" s="203">
        <f>F193+F196+F199</f>
        <v>0</v>
      </c>
      <c r="G190" s="203">
        <f>G193+G196+G199</f>
        <v>0</v>
      </c>
      <c r="H190" s="203">
        <f>H193+H196+H199</f>
        <v>0</v>
      </c>
      <c r="I190" s="203">
        <f>I193+I196+I199</f>
        <v>0</v>
      </c>
      <c r="J190" s="204">
        <f>J193+J196+J199</f>
        <v>0</v>
      </c>
      <c r="K190" s="733"/>
      <c r="L190" s="627"/>
      <c r="M190" s="339"/>
    </row>
    <row r="191" spans="1:13" ht="13.5" thickBot="1">
      <c r="A191" s="675"/>
      <c r="B191" s="680"/>
      <c r="C191" s="205" t="s">
        <v>16</v>
      </c>
      <c r="D191" s="692"/>
      <c r="E191" s="306">
        <f t="shared" si="10"/>
        <v>0</v>
      </c>
      <c r="F191" s="205">
        <f>F194+F197+F200</f>
        <v>0</v>
      </c>
      <c r="G191" s="205">
        <f aca="true" t="shared" si="12" ref="G191:J192">G194+G197+G200</f>
        <v>0</v>
      </c>
      <c r="H191" s="205">
        <f t="shared" si="12"/>
        <v>0</v>
      </c>
      <c r="I191" s="205">
        <f t="shared" si="12"/>
        <v>0</v>
      </c>
      <c r="J191" s="206">
        <f t="shared" si="12"/>
        <v>0</v>
      </c>
      <c r="K191" s="733"/>
      <c r="L191" s="627"/>
      <c r="M191" s="339"/>
    </row>
    <row r="192" spans="1:13" ht="20.25" customHeight="1" thickBot="1">
      <c r="A192" s="676"/>
      <c r="B192" s="680"/>
      <c r="C192" s="207" t="s">
        <v>17</v>
      </c>
      <c r="D192" s="692"/>
      <c r="E192" s="307">
        <f t="shared" si="10"/>
        <v>0</v>
      </c>
      <c r="F192" s="207">
        <f>F195+F198+F201</f>
        <v>0</v>
      </c>
      <c r="G192" s="207">
        <f t="shared" si="12"/>
        <v>0</v>
      </c>
      <c r="H192" s="207">
        <f t="shared" si="12"/>
        <v>0</v>
      </c>
      <c r="I192" s="207">
        <f t="shared" si="12"/>
        <v>0</v>
      </c>
      <c r="J192" s="208">
        <f t="shared" si="12"/>
        <v>0</v>
      </c>
      <c r="K192" s="733"/>
      <c r="L192" s="627"/>
      <c r="M192" s="339"/>
    </row>
    <row r="193" spans="1:13" ht="13.5" customHeight="1" hidden="1">
      <c r="A193" s="697"/>
      <c r="B193" s="694" t="s">
        <v>108</v>
      </c>
      <c r="C193" s="229" t="s">
        <v>14</v>
      </c>
      <c r="D193" s="700" t="s">
        <v>138</v>
      </c>
      <c r="E193" s="308">
        <f t="shared" si="10"/>
        <v>0</v>
      </c>
      <c r="F193" s="229">
        <v>0</v>
      </c>
      <c r="G193" s="229">
        <v>0</v>
      </c>
      <c r="H193" s="229">
        <v>0</v>
      </c>
      <c r="I193" s="229">
        <v>0</v>
      </c>
      <c r="J193" s="230">
        <v>0</v>
      </c>
      <c r="K193" s="733"/>
      <c r="L193" s="627"/>
      <c r="M193" s="339"/>
    </row>
    <row r="194" spans="1:13" ht="13.5" customHeight="1" hidden="1">
      <c r="A194" s="698"/>
      <c r="B194" s="694"/>
      <c r="C194" s="231" t="s">
        <v>16</v>
      </c>
      <c r="D194" s="701"/>
      <c r="E194" s="309">
        <f t="shared" si="10"/>
        <v>0</v>
      </c>
      <c r="F194" s="231">
        <v>0</v>
      </c>
      <c r="G194" s="231">
        <v>0</v>
      </c>
      <c r="H194" s="231">
        <v>0</v>
      </c>
      <c r="I194" s="231">
        <v>0</v>
      </c>
      <c r="J194" s="232">
        <v>0</v>
      </c>
      <c r="K194" s="733"/>
      <c r="L194" s="627"/>
      <c r="M194" s="339"/>
    </row>
    <row r="195" spans="1:13" ht="12" customHeight="1" hidden="1">
      <c r="A195" s="699"/>
      <c r="B195" s="694"/>
      <c r="C195" s="233" t="s">
        <v>17</v>
      </c>
      <c r="D195" s="702"/>
      <c r="E195" s="311">
        <f t="shared" si="10"/>
        <v>0</v>
      </c>
      <c r="F195" s="233">
        <v>0</v>
      </c>
      <c r="G195" s="233">
        <v>0</v>
      </c>
      <c r="H195" s="233">
        <v>0</v>
      </c>
      <c r="I195" s="233">
        <v>0</v>
      </c>
      <c r="J195" s="234">
        <v>0</v>
      </c>
      <c r="K195" s="733"/>
      <c r="L195" s="627"/>
      <c r="M195" s="339"/>
    </row>
    <row r="196" spans="1:15" ht="13.5" customHeight="1" hidden="1">
      <c r="A196" s="694"/>
      <c r="B196" s="694" t="s">
        <v>107</v>
      </c>
      <c r="C196" s="229" t="s">
        <v>14</v>
      </c>
      <c r="D196" s="695" t="s">
        <v>139</v>
      </c>
      <c r="E196" s="308">
        <f t="shared" si="10"/>
        <v>0</v>
      </c>
      <c r="F196" s="229">
        <v>0</v>
      </c>
      <c r="G196" s="229">
        <v>0</v>
      </c>
      <c r="H196" s="229">
        <v>0</v>
      </c>
      <c r="I196" s="229">
        <v>0</v>
      </c>
      <c r="J196" s="230">
        <v>0</v>
      </c>
      <c r="K196" s="733"/>
      <c r="L196" s="627"/>
      <c r="M196" s="339"/>
      <c r="O196" s="49"/>
    </row>
    <row r="197" spans="1:13" ht="13.5" customHeight="1" hidden="1">
      <c r="A197" s="694"/>
      <c r="B197" s="694"/>
      <c r="C197" s="231" t="s">
        <v>16</v>
      </c>
      <c r="D197" s="695"/>
      <c r="E197" s="309">
        <f t="shared" si="10"/>
        <v>0</v>
      </c>
      <c r="F197" s="231">
        <v>0</v>
      </c>
      <c r="G197" s="231">
        <v>0</v>
      </c>
      <c r="H197" s="231">
        <v>0</v>
      </c>
      <c r="I197" s="231">
        <v>0</v>
      </c>
      <c r="J197" s="232">
        <v>0</v>
      </c>
      <c r="K197" s="733"/>
      <c r="L197" s="627"/>
      <c r="M197" s="339"/>
    </row>
    <row r="198" spans="1:13" ht="13.5" customHeight="1" hidden="1">
      <c r="A198" s="694"/>
      <c r="B198" s="694"/>
      <c r="C198" s="233" t="s">
        <v>17</v>
      </c>
      <c r="D198" s="695"/>
      <c r="E198" s="311">
        <f t="shared" si="10"/>
        <v>0</v>
      </c>
      <c r="F198" s="233">
        <v>0</v>
      </c>
      <c r="G198" s="233"/>
      <c r="H198" s="233">
        <v>0</v>
      </c>
      <c r="I198" s="233">
        <v>0</v>
      </c>
      <c r="J198" s="234">
        <v>0</v>
      </c>
      <c r="K198" s="733"/>
      <c r="L198" s="627"/>
      <c r="M198" s="339"/>
    </row>
    <row r="199" spans="1:13" ht="13.5" customHeight="1" hidden="1">
      <c r="A199" s="694"/>
      <c r="B199" s="694" t="s">
        <v>100</v>
      </c>
      <c r="C199" s="229" t="s">
        <v>14</v>
      </c>
      <c r="D199" s="696" t="s">
        <v>140</v>
      </c>
      <c r="E199" s="308">
        <f t="shared" si="10"/>
        <v>0</v>
      </c>
      <c r="F199" s="229">
        <v>0</v>
      </c>
      <c r="G199" s="229">
        <v>0</v>
      </c>
      <c r="H199" s="229">
        <v>0</v>
      </c>
      <c r="I199" s="229">
        <v>0</v>
      </c>
      <c r="J199" s="230">
        <v>0</v>
      </c>
      <c r="K199" s="733"/>
      <c r="L199" s="627"/>
      <c r="M199" s="339"/>
    </row>
    <row r="200" spans="1:13" ht="13.5" customHeight="1" hidden="1">
      <c r="A200" s="694"/>
      <c r="B200" s="694"/>
      <c r="C200" s="231" t="s">
        <v>16</v>
      </c>
      <c r="D200" s="696"/>
      <c r="E200" s="309">
        <f t="shared" si="10"/>
        <v>0</v>
      </c>
      <c r="F200" s="231">
        <v>0</v>
      </c>
      <c r="G200" s="231">
        <v>0</v>
      </c>
      <c r="H200" s="231">
        <v>0</v>
      </c>
      <c r="I200" s="231">
        <v>0</v>
      </c>
      <c r="J200" s="232">
        <v>0</v>
      </c>
      <c r="K200" s="733"/>
      <c r="L200" s="627"/>
      <c r="M200" s="339"/>
    </row>
    <row r="201" spans="1:13" ht="13.5" customHeight="1" hidden="1">
      <c r="A201" s="694"/>
      <c r="B201" s="694"/>
      <c r="C201" s="233" t="s">
        <v>17</v>
      </c>
      <c r="D201" s="696"/>
      <c r="E201" s="311">
        <f t="shared" si="10"/>
        <v>0</v>
      </c>
      <c r="F201" s="233">
        <v>0</v>
      </c>
      <c r="G201" s="233">
        <v>0</v>
      </c>
      <c r="H201" s="233">
        <v>0</v>
      </c>
      <c r="I201" s="233">
        <v>0</v>
      </c>
      <c r="J201" s="234">
        <v>0</v>
      </c>
      <c r="K201" s="733"/>
      <c r="L201" s="627"/>
      <c r="M201" s="339"/>
    </row>
    <row r="202" spans="1:13" ht="13.5" customHeight="1" thickBot="1">
      <c r="A202" s="674" t="s">
        <v>178</v>
      </c>
      <c r="B202" s="680" t="s">
        <v>132</v>
      </c>
      <c r="C202" s="203" t="s">
        <v>14</v>
      </c>
      <c r="D202" s="692">
        <f>D205+D208+D211</f>
        <v>5805100</v>
      </c>
      <c r="E202" s="305">
        <f t="shared" si="10"/>
        <v>0</v>
      </c>
      <c r="F202" s="203">
        <f aca="true" t="shared" si="13" ref="F202:J204">F205+F208+F211</f>
        <v>0</v>
      </c>
      <c r="G202" s="203">
        <f t="shared" si="13"/>
        <v>0</v>
      </c>
      <c r="H202" s="203">
        <f t="shared" si="13"/>
        <v>0</v>
      </c>
      <c r="I202" s="203">
        <f t="shared" si="13"/>
        <v>0</v>
      </c>
      <c r="J202" s="204">
        <f t="shared" si="13"/>
        <v>0</v>
      </c>
      <c r="K202" s="733"/>
      <c r="L202" s="627"/>
      <c r="M202" s="339"/>
    </row>
    <row r="203" spans="1:13" ht="13.5" thickBot="1">
      <c r="A203" s="675"/>
      <c r="B203" s="680"/>
      <c r="C203" s="205" t="s">
        <v>16</v>
      </c>
      <c r="D203" s="692"/>
      <c r="E203" s="306">
        <f t="shared" si="10"/>
        <v>0</v>
      </c>
      <c r="F203" s="205">
        <f t="shared" si="13"/>
        <v>0</v>
      </c>
      <c r="G203" s="205">
        <f t="shared" si="13"/>
        <v>0</v>
      </c>
      <c r="H203" s="205">
        <f t="shared" si="13"/>
        <v>0</v>
      </c>
      <c r="I203" s="205">
        <f t="shared" si="13"/>
        <v>0</v>
      </c>
      <c r="J203" s="206">
        <f t="shared" si="13"/>
        <v>0</v>
      </c>
      <c r="K203" s="733"/>
      <c r="L203" s="627"/>
      <c r="M203" s="339"/>
    </row>
    <row r="204" spans="1:13" ht="19.5" customHeight="1" thickBot="1">
      <c r="A204" s="676"/>
      <c r="B204" s="680"/>
      <c r="C204" s="207" t="s">
        <v>17</v>
      </c>
      <c r="D204" s="692"/>
      <c r="E204" s="307">
        <f t="shared" si="10"/>
        <v>0</v>
      </c>
      <c r="F204" s="207">
        <f t="shared" si="13"/>
        <v>0</v>
      </c>
      <c r="G204" s="207">
        <f t="shared" si="13"/>
        <v>0</v>
      </c>
      <c r="H204" s="207">
        <f t="shared" si="13"/>
        <v>0</v>
      </c>
      <c r="I204" s="207">
        <f t="shared" si="13"/>
        <v>0</v>
      </c>
      <c r="J204" s="208">
        <f t="shared" si="13"/>
        <v>0</v>
      </c>
      <c r="K204" s="733"/>
      <c r="L204" s="627"/>
      <c r="M204" s="339"/>
    </row>
    <row r="205" spans="1:13" ht="16.5" customHeight="1" hidden="1">
      <c r="A205" s="694"/>
      <c r="B205" s="694" t="s">
        <v>106</v>
      </c>
      <c r="C205" s="229" t="s">
        <v>14</v>
      </c>
      <c r="D205" s="695" t="s">
        <v>141</v>
      </c>
      <c r="E205" s="308">
        <f t="shared" si="10"/>
        <v>0</v>
      </c>
      <c r="F205" s="229">
        <v>0</v>
      </c>
      <c r="G205" s="229">
        <v>0</v>
      </c>
      <c r="H205" s="229">
        <v>0</v>
      </c>
      <c r="I205" s="229">
        <v>0</v>
      </c>
      <c r="J205" s="230">
        <v>0</v>
      </c>
      <c r="K205" s="733"/>
      <c r="L205" s="627"/>
      <c r="M205" s="339"/>
    </row>
    <row r="206" spans="1:13" ht="13.5" customHeight="1" hidden="1">
      <c r="A206" s="694"/>
      <c r="B206" s="694"/>
      <c r="C206" s="231" t="s">
        <v>16</v>
      </c>
      <c r="D206" s="695"/>
      <c r="E206" s="309">
        <f t="shared" si="10"/>
        <v>0</v>
      </c>
      <c r="F206" s="231">
        <v>0</v>
      </c>
      <c r="G206" s="231">
        <v>0</v>
      </c>
      <c r="H206" s="231">
        <v>0</v>
      </c>
      <c r="I206" s="231">
        <v>0</v>
      </c>
      <c r="J206" s="232">
        <v>0</v>
      </c>
      <c r="K206" s="733"/>
      <c r="L206" s="627"/>
      <c r="M206" s="339"/>
    </row>
    <row r="207" spans="1:13" ht="13.5" customHeight="1" hidden="1">
      <c r="A207" s="694"/>
      <c r="B207" s="694"/>
      <c r="C207" s="233" t="s">
        <v>17</v>
      </c>
      <c r="D207" s="695"/>
      <c r="E207" s="311">
        <f t="shared" si="10"/>
        <v>0</v>
      </c>
      <c r="F207" s="233">
        <v>0</v>
      </c>
      <c r="G207" s="233">
        <v>0</v>
      </c>
      <c r="H207" s="233">
        <v>0</v>
      </c>
      <c r="I207" s="233">
        <v>0</v>
      </c>
      <c r="J207" s="234">
        <v>0</v>
      </c>
      <c r="K207" s="733"/>
      <c r="L207" s="627"/>
      <c r="M207" s="339"/>
    </row>
    <row r="208" spans="1:15" ht="14.25" customHeight="1" hidden="1">
      <c r="A208" s="694"/>
      <c r="B208" s="694" t="s">
        <v>107</v>
      </c>
      <c r="C208" s="229" t="s">
        <v>14</v>
      </c>
      <c r="D208" s="695" t="s">
        <v>146</v>
      </c>
      <c r="E208" s="308">
        <f t="shared" si="10"/>
        <v>0</v>
      </c>
      <c r="F208" s="229">
        <v>0</v>
      </c>
      <c r="G208" s="229">
        <v>0</v>
      </c>
      <c r="H208" s="229">
        <v>0</v>
      </c>
      <c r="I208" s="229">
        <v>0</v>
      </c>
      <c r="J208" s="230">
        <v>0</v>
      </c>
      <c r="K208" s="733"/>
      <c r="L208" s="627"/>
      <c r="M208" s="339"/>
      <c r="O208" s="49"/>
    </row>
    <row r="209" spans="1:15" ht="11.25" customHeight="1" hidden="1">
      <c r="A209" s="694"/>
      <c r="B209" s="694"/>
      <c r="C209" s="231" t="s">
        <v>16</v>
      </c>
      <c r="D209" s="695"/>
      <c r="E209" s="309">
        <f t="shared" si="10"/>
        <v>0</v>
      </c>
      <c r="F209" s="231">
        <v>0</v>
      </c>
      <c r="G209" s="231">
        <v>0</v>
      </c>
      <c r="H209" s="231">
        <v>0</v>
      </c>
      <c r="I209" s="231">
        <v>0</v>
      </c>
      <c r="J209" s="232">
        <v>0</v>
      </c>
      <c r="K209" s="733"/>
      <c r="L209" s="627"/>
      <c r="M209" s="339"/>
      <c r="O209" s="49"/>
    </row>
    <row r="210" spans="1:15" ht="15" customHeight="1" hidden="1">
      <c r="A210" s="694"/>
      <c r="B210" s="694"/>
      <c r="C210" s="233" t="s">
        <v>17</v>
      </c>
      <c r="D210" s="695"/>
      <c r="E210" s="311">
        <f t="shared" si="10"/>
        <v>0</v>
      </c>
      <c r="F210" s="233">
        <v>0</v>
      </c>
      <c r="G210" s="233">
        <v>0</v>
      </c>
      <c r="H210" s="233">
        <v>0</v>
      </c>
      <c r="I210" s="233">
        <v>0</v>
      </c>
      <c r="J210" s="234">
        <v>0</v>
      </c>
      <c r="K210" s="733"/>
      <c r="L210" s="627"/>
      <c r="M210" s="339"/>
      <c r="O210" s="49"/>
    </row>
    <row r="211" spans="1:15" ht="13.5" customHeight="1" hidden="1">
      <c r="A211" s="694"/>
      <c r="B211" s="694" t="s">
        <v>100</v>
      </c>
      <c r="C211" s="229" t="s">
        <v>14</v>
      </c>
      <c r="D211" s="695" t="s">
        <v>147</v>
      </c>
      <c r="E211" s="308">
        <f t="shared" si="10"/>
        <v>0</v>
      </c>
      <c r="F211" s="212">
        <v>0</v>
      </c>
      <c r="G211" s="212">
        <v>0</v>
      </c>
      <c r="H211" s="212">
        <v>0</v>
      </c>
      <c r="I211" s="212">
        <v>0</v>
      </c>
      <c r="J211" s="230">
        <v>0</v>
      </c>
      <c r="K211" s="733"/>
      <c r="L211" s="627"/>
      <c r="M211" s="339"/>
      <c r="O211" s="49"/>
    </row>
    <row r="212" spans="1:15" ht="13.5" customHeight="1" hidden="1">
      <c r="A212" s="694"/>
      <c r="B212" s="694"/>
      <c r="C212" s="231" t="s">
        <v>16</v>
      </c>
      <c r="D212" s="695"/>
      <c r="E212" s="309">
        <f t="shared" si="10"/>
        <v>0</v>
      </c>
      <c r="F212" s="213">
        <v>0</v>
      </c>
      <c r="G212" s="213">
        <v>0</v>
      </c>
      <c r="H212" s="213">
        <v>0</v>
      </c>
      <c r="I212" s="213">
        <v>0</v>
      </c>
      <c r="J212" s="232">
        <v>0</v>
      </c>
      <c r="K212" s="733"/>
      <c r="L212" s="627"/>
      <c r="M212" s="339"/>
      <c r="O212" s="49"/>
    </row>
    <row r="213" spans="1:15" ht="13.5" customHeight="1" hidden="1">
      <c r="A213" s="694"/>
      <c r="B213" s="694"/>
      <c r="C213" s="233" t="s">
        <v>17</v>
      </c>
      <c r="D213" s="695"/>
      <c r="E213" s="311">
        <f t="shared" si="10"/>
        <v>0</v>
      </c>
      <c r="F213" s="214">
        <v>0</v>
      </c>
      <c r="G213" s="214">
        <v>0</v>
      </c>
      <c r="H213" s="214">
        <v>0</v>
      </c>
      <c r="I213" s="214">
        <v>0</v>
      </c>
      <c r="J213" s="234">
        <v>0</v>
      </c>
      <c r="K213" s="733"/>
      <c r="L213" s="627"/>
      <c r="M213" s="339"/>
      <c r="O213" s="49"/>
    </row>
    <row r="214" spans="1:15" ht="13.5" customHeight="1" thickBot="1">
      <c r="A214" s="674" t="s">
        <v>179</v>
      </c>
      <c r="B214" s="680" t="s">
        <v>133</v>
      </c>
      <c r="C214" s="203" t="s">
        <v>14</v>
      </c>
      <c r="D214" s="692">
        <f>D217+D220+D223</f>
        <v>4784000</v>
      </c>
      <c r="E214" s="305">
        <f t="shared" si="10"/>
        <v>0</v>
      </c>
      <c r="F214" s="203">
        <f aca="true" t="shared" si="14" ref="F214:J216">F217+F220+F223</f>
        <v>0</v>
      </c>
      <c r="G214" s="203">
        <f t="shared" si="14"/>
        <v>0</v>
      </c>
      <c r="H214" s="203">
        <f t="shared" si="14"/>
        <v>0</v>
      </c>
      <c r="I214" s="203">
        <f t="shared" si="14"/>
        <v>0</v>
      </c>
      <c r="J214" s="204">
        <f t="shared" si="14"/>
        <v>0</v>
      </c>
      <c r="K214" s="733"/>
      <c r="L214" s="627"/>
      <c r="M214" s="339"/>
      <c r="O214" s="49"/>
    </row>
    <row r="215" spans="1:15" ht="13.5" thickBot="1">
      <c r="A215" s="675"/>
      <c r="B215" s="680"/>
      <c r="C215" s="205" t="s">
        <v>16</v>
      </c>
      <c r="D215" s="692"/>
      <c r="E215" s="306">
        <f t="shared" si="10"/>
        <v>0</v>
      </c>
      <c r="F215" s="205">
        <f t="shared" si="14"/>
        <v>0</v>
      </c>
      <c r="G215" s="205">
        <f t="shared" si="14"/>
        <v>0</v>
      </c>
      <c r="H215" s="205">
        <f t="shared" si="14"/>
        <v>0</v>
      </c>
      <c r="I215" s="205">
        <f t="shared" si="14"/>
        <v>0</v>
      </c>
      <c r="J215" s="206">
        <f t="shared" si="14"/>
        <v>0</v>
      </c>
      <c r="K215" s="733"/>
      <c r="L215" s="627"/>
      <c r="M215" s="339"/>
      <c r="O215" s="49"/>
    </row>
    <row r="216" spans="1:15" ht="11.25" customHeight="1" thickBot="1">
      <c r="A216" s="676"/>
      <c r="B216" s="680"/>
      <c r="C216" s="207" t="s">
        <v>17</v>
      </c>
      <c r="D216" s="692"/>
      <c r="E216" s="307">
        <f t="shared" si="10"/>
        <v>0</v>
      </c>
      <c r="F216" s="207">
        <f t="shared" si="14"/>
        <v>0</v>
      </c>
      <c r="G216" s="207">
        <f t="shared" si="14"/>
        <v>0</v>
      </c>
      <c r="H216" s="207">
        <f t="shared" si="14"/>
        <v>0</v>
      </c>
      <c r="I216" s="207">
        <f t="shared" si="14"/>
        <v>0</v>
      </c>
      <c r="J216" s="208">
        <f t="shared" si="14"/>
        <v>0</v>
      </c>
      <c r="K216" s="733"/>
      <c r="L216" s="627"/>
      <c r="M216" s="339"/>
      <c r="O216" s="49"/>
    </row>
    <row r="217" spans="1:15" ht="13.5" customHeight="1" hidden="1">
      <c r="A217" s="694"/>
      <c r="B217" s="694" t="s">
        <v>108</v>
      </c>
      <c r="C217" s="229" t="s">
        <v>14</v>
      </c>
      <c r="D217" s="695" t="s">
        <v>148</v>
      </c>
      <c r="E217" s="308">
        <f t="shared" si="10"/>
        <v>0</v>
      </c>
      <c r="F217" s="229">
        <v>0</v>
      </c>
      <c r="G217" s="229">
        <v>0</v>
      </c>
      <c r="H217" s="229">
        <v>0</v>
      </c>
      <c r="I217" s="229">
        <v>0</v>
      </c>
      <c r="J217" s="230">
        <v>0</v>
      </c>
      <c r="K217" s="733"/>
      <c r="L217" s="627"/>
      <c r="M217" s="339"/>
      <c r="O217" s="49"/>
    </row>
    <row r="218" spans="1:16" ht="13.5" customHeight="1" hidden="1">
      <c r="A218" s="694"/>
      <c r="B218" s="694"/>
      <c r="C218" s="231" t="s">
        <v>16</v>
      </c>
      <c r="D218" s="695"/>
      <c r="E218" s="309">
        <f t="shared" si="10"/>
        <v>0</v>
      </c>
      <c r="F218" s="231">
        <v>0</v>
      </c>
      <c r="G218" s="231">
        <v>0</v>
      </c>
      <c r="H218" s="231">
        <v>0</v>
      </c>
      <c r="I218" s="231">
        <v>0</v>
      </c>
      <c r="J218" s="232">
        <v>0</v>
      </c>
      <c r="K218" s="733"/>
      <c r="L218" s="627"/>
      <c r="M218" s="339"/>
      <c r="O218" s="49"/>
      <c r="P218" s="49"/>
    </row>
    <row r="219" spans="1:15" ht="13.5" customHeight="1" hidden="1">
      <c r="A219" s="694"/>
      <c r="B219" s="694"/>
      <c r="C219" s="233" t="s">
        <v>17</v>
      </c>
      <c r="D219" s="695"/>
      <c r="E219" s="311">
        <f t="shared" si="10"/>
        <v>0</v>
      </c>
      <c r="F219" s="233">
        <v>0</v>
      </c>
      <c r="G219" s="233">
        <v>0</v>
      </c>
      <c r="H219" s="233"/>
      <c r="I219" s="233">
        <v>0</v>
      </c>
      <c r="J219" s="234">
        <v>0</v>
      </c>
      <c r="K219" s="733"/>
      <c r="L219" s="627"/>
      <c r="M219" s="339"/>
      <c r="O219" s="49"/>
    </row>
    <row r="220" spans="1:15" ht="13.5" customHeight="1" hidden="1">
      <c r="A220" s="694"/>
      <c r="B220" s="694" t="s">
        <v>107</v>
      </c>
      <c r="C220" s="229" t="s">
        <v>14</v>
      </c>
      <c r="D220" s="695" t="s">
        <v>149</v>
      </c>
      <c r="E220" s="308">
        <f t="shared" si="10"/>
        <v>0</v>
      </c>
      <c r="F220" s="229">
        <v>0</v>
      </c>
      <c r="G220" s="229">
        <v>0</v>
      </c>
      <c r="H220" s="229">
        <v>0</v>
      </c>
      <c r="I220" s="229">
        <v>0</v>
      </c>
      <c r="J220" s="230">
        <v>0</v>
      </c>
      <c r="K220" s="733"/>
      <c r="L220" s="627"/>
      <c r="M220" s="339"/>
      <c r="O220" s="49"/>
    </row>
    <row r="221" spans="1:15" ht="13.5" customHeight="1" hidden="1">
      <c r="A221" s="694"/>
      <c r="B221" s="694"/>
      <c r="C221" s="231" t="s">
        <v>16</v>
      </c>
      <c r="D221" s="695"/>
      <c r="E221" s="309">
        <f t="shared" si="10"/>
        <v>0</v>
      </c>
      <c r="F221" s="231">
        <v>0</v>
      </c>
      <c r="G221" s="231">
        <v>0</v>
      </c>
      <c r="H221" s="231">
        <v>0</v>
      </c>
      <c r="I221" s="231">
        <v>0</v>
      </c>
      <c r="J221" s="232">
        <v>0</v>
      </c>
      <c r="K221" s="733"/>
      <c r="L221" s="627"/>
      <c r="M221" s="339"/>
      <c r="O221" s="49"/>
    </row>
    <row r="222" spans="1:15" ht="13.5" customHeight="1" hidden="1">
      <c r="A222" s="694"/>
      <c r="B222" s="694"/>
      <c r="C222" s="233" t="s">
        <v>17</v>
      </c>
      <c r="D222" s="695"/>
      <c r="E222" s="311">
        <f t="shared" si="10"/>
        <v>0</v>
      </c>
      <c r="F222" s="233">
        <v>0</v>
      </c>
      <c r="G222" s="233">
        <v>0</v>
      </c>
      <c r="H222" s="233">
        <v>0</v>
      </c>
      <c r="I222" s="233">
        <v>0</v>
      </c>
      <c r="J222" s="234">
        <v>0</v>
      </c>
      <c r="K222" s="733"/>
      <c r="L222" s="627"/>
      <c r="M222" s="339"/>
      <c r="O222" s="49"/>
    </row>
    <row r="223" spans="1:13" ht="13.5" customHeight="1" hidden="1">
      <c r="A223" s="694"/>
      <c r="B223" s="694" t="s">
        <v>100</v>
      </c>
      <c r="C223" s="229" t="s">
        <v>14</v>
      </c>
      <c r="D223" s="695" t="s">
        <v>150</v>
      </c>
      <c r="E223" s="308">
        <f t="shared" si="10"/>
        <v>0</v>
      </c>
      <c r="F223" s="229">
        <v>0</v>
      </c>
      <c r="G223" s="212">
        <v>0</v>
      </c>
      <c r="H223" s="212">
        <v>0</v>
      </c>
      <c r="I223" s="229">
        <v>0</v>
      </c>
      <c r="J223" s="230">
        <v>0</v>
      </c>
      <c r="K223" s="733"/>
      <c r="L223" s="627"/>
      <c r="M223" s="339"/>
    </row>
    <row r="224" spans="1:13" ht="13.5" customHeight="1" hidden="1">
      <c r="A224" s="694"/>
      <c r="B224" s="694"/>
      <c r="C224" s="231" t="s">
        <v>16</v>
      </c>
      <c r="D224" s="695"/>
      <c r="E224" s="309">
        <f t="shared" si="10"/>
        <v>0</v>
      </c>
      <c r="F224" s="231">
        <v>0</v>
      </c>
      <c r="G224" s="213">
        <v>0</v>
      </c>
      <c r="H224" s="213">
        <v>0</v>
      </c>
      <c r="I224" s="231">
        <v>0</v>
      </c>
      <c r="J224" s="232">
        <v>0</v>
      </c>
      <c r="K224" s="733"/>
      <c r="L224" s="627"/>
      <c r="M224" s="339"/>
    </row>
    <row r="225" spans="1:13" ht="13.5" customHeight="1" hidden="1">
      <c r="A225" s="694"/>
      <c r="B225" s="694"/>
      <c r="C225" s="233" t="s">
        <v>17</v>
      </c>
      <c r="D225" s="695"/>
      <c r="E225" s="311">
        <f t="shared" si="10"/>
        <v>0</v>
      </c>
      <c r="F225" s="233">
        <v>0</v>
      </c>
      <c r="G225" s="214">
        <v>0</v>
      </c>
      <c r="H225" s="214">
        <v>0</v>
      </c>
      <c r="I225" s="233">
        <v>0</v>
      </c>
      <c r="J225" s="222">
        <v>0</v>
      </c>
      <c r="K225" s="733"/>
      <c r="L225" s="627"/>
      <c r="M225" s="339"/>
    </row>
    <row r="226" spans="1:13" ht="13.5" customHeight="1" thickBot="1">
      <c r="A226" s="669" t="s">
        <v>180</v>
      </c>
      <c r="B226" s="680" t="s">
        <v>134</v>
      </c>
      <c r="C226" s="203" t="s">
        <v>14</v>
      </c>
      <c r="D226" s="692">
        <f>D229+D232+D235</f>
        <v>4046000</v>
      </c>
      <c r="E226" s="305">
        <f t="shared" si="10"/>
        <v>0</v>
      </c>
      <c r="F226" s="203">
        <f aca="true" t="shared" si="15" ref="F226:J228">F229+F232+F235</f>
        <v>0</v>
      </c>
      <c r="G226" s="203">
        <f t="shared" si="15"/>
        <v>0</v>
      </c>
      <c r="H226" s="203">
        <f t="shared" si="15"/>
        <v>0</v>
      </c>
      <c r="I226" s="203">
        <f t="shared" si="15"/>
        <v>0</v>
      </c>
      <c r="J226" s="204">
        <f t="shared" si="15"/>
        <v>0</v>
      </c>
      <c r="K226" s="733"/>
      <c r="L226" s="627"/>
      <c r="M226" s="339"/>
    </row>
    <row r="227" spans="1:13" ht="13.5" thickBot="1">
      <c r="A227" s="669"/>
      <c r="B227" s="680"/>
      <c r="C227" s="205" t="s">
        <v>16</v>
      </c>
      <c r="D227" s="692"/>
      <c r="E227" s="306">
        <f t="shared" si="10"/>
        <v>0</v>
      </c>
      <c r="F227" s="205">
        <f t="shared" si="15"/>
        <v>0</v>
      </c>
      <c r="G227" s="205">
        <f t="shared" si="15"/>
        <v>0</v>
      </c>
      <c r="H227" s="205">
        <f t="shared" si="15"/>
        <v>0</v>
      </c>
      <c r="I227" s="205">
        <f t="shared" si="15"/>
        <v>0</v>
      </c>
      <c r="J227" s="206">
        <f t="shared" si="15"/>
        <v>0</v>
      </c>
      <c r="K227" s="733"/>
      <c r="L227" s="627"/>
      <c r="M227" s="339"/>
    </row>
    <row r="228" spans="1:13" ht="11.25" customHeight="1" thickBot="1">
      <c r="A228" s="669"/>
      <c r="B228" s="680"/>
      <c r="C228" s="207" t="s">
        <v>17</v>
      </c>
      <c r="D228" s="692"/>
      <c r="E228" s="307">
        <f t="shared" si="10"/>
        <v>0</v>
      </c>
      <c r="F228" s="207">
        <f t="shared" si="15"/>
        <v>0</v>
      </c>
      <c r="G228" s="207">
        <f t="shared" si="15"/>
        <v>0</v>
      </c>
      <c r="H228" s="207">
        <f t="shared" si="15"/>
        <v>0</v>
      </c>
      <c r="I228" s="207">
        <f t="shared" si="15"/>
        <v>0</v>
      </c>
      <c r="J228" s="208">
        <f t="shared" si="15"/>
        <v>0</v>
      </c>
      <c r="K228" s="733"/>
      <c r="L228" s="627"/>
      <c r="M228" s="339"/>
    </row>
    <row r="229" spans="1:13" ht="13.5" customHeight="1" hidden="1">
      <c r="A229" s="693"/>
      <c r="B229" s="694" t="s">
        <v>104</v>
      </c>
      <c r="C229" s="229" t="s">
        <v>14</v>
      </c>
      <c r="D229" s="695" t="s">
        <v>151</v>
      </c>
      <c r="E229" s="308">
        <f t="shared" si="10"/>
        <v>0</v>
      </c>
      <c r="F229" s="229">
        <v>0</v>
      </c>
      <c r="G229" s="229">
        <v>0</v>
      </c>
      <c r="H229" s="229">
        <v>0</v>
      </c>
      <c r="I229" s="229">
        <v>0</v>
      </c>
      <c r="J229" s="230">
        <v>0</v>
      </c>
      <c r="K229" s="733"/>
      <c r="L229" s="627"/>
      <c r="M229" s="339"/>
    </row>
    <row r="230" spans="1:13" ht="13.5" customHeight="1" hidden="1">
      <c r="A230" s="693"/>
      <c r="B230" s="694"/>
      <c r="C230" s="231" t="s">
        <v>16</v>
      </c>
      <c r="D230" s="695"/>
      <c r="E230" s="309">
        <f aca="true" t="shared" si="16" ref="E230:E253">SUM(F230:J230)</f>
        <v>0</v>
      </c>
      <c r="F230" s="231">
        <v>0</v>
      </c>
      <c r="G230" s="231">
        <v>0</v>
      </c>
      <c r="H230" s="231">
        <v>0</v>
      </c>
      <c r="I230" s="231">
        <v>0</v>
      </c>
      <c r="J230" s="232">
        <v>0</v>
      </c>
      <c r="K230" s="733"/>
      <c r="L230" s="627"/>
      <c r="M230" s="339"/>
    </row>
    <row r="231" spans="1:13" ht="13.5" customHeight="1" hidden="1">
      <c r="A231" s="693"/>
      <c r="B231" s="694"/>
      <c r="C231" s="233" t="s">
        <v>17</v>
      </c>
      <c r="D231" s="695"/>
      <c r="E231" s="311">
        <f t="shared" si="16"/>
        <v>0</v>
      </c>
      <c r="F231" s="233">
        <v>0</v>
      </c>
      <c r="G231" s="233">
        <v>0</v>
      </c>
      <c r="H231" s="233">
        <v>0</v>
      </c>
      <c r="I231" s="233">
        <v>0</v>
      </c>
      <c r="J231" s="234">
        <v>0</v>
      </c>
      <c r="K231" s="733"/>
      <c r="L231" s="627"/>
      <c r="M231" s="339"/>
    </row>
    <row r="232" spans="1:14" ht="13.5" customHeight="1" hidden="1">
      <c r="A232" s="693"/>
      <c r="B232" s="694" t="s">
        <v>105</v>
      </c>
      <c r="C232" s="229" t="s">
        <v>14</v>
      </c>
      <c r="D232" s="695" t="s">
        <v>152</v>
      </c>
      <c r="E232" s="308">
        <f t="shared" si="16"/>
        <v>0</v>
      </c>
      <c r="F232" s="229">
        <v>0</v>
      </c>
      <c r="G232" s="229">
        <v>0</v>
      </c>
      <c r="H232" s="229">
        <v>0</v>
      </c>
      <c r="I232" s="229">
        <v>0</v>
      </c>
      <c r="J232" s="230">
        <v>0</v>
      </c>
      <c r="K232" s="733"/>
      <c r="L232" s="627"/>
      <c r="M232" s="339"/>
      <c r="N232" s="49"/>
    </row>
    <row r="233" spans="1:13" ht="13.5" customHeight="1" hidden="1">
      <c r="A233" s="693"/>
      <c r="B233" s="694"/>
      <c r="C233" s="231" t="s">
        <v>16</v>
      </c>
      <c r="D233" s="695"/>
      <c r="E233" s="309">
        <f t="shared" si="16"/>
        <v>0</v>
      </c>
      <c r="F233" s="231">
        <v>0</v>
      </c>
      <c r="G233" s="231">
        <v>0</v>
      </c>
      <c r="H233" s="231">
        <v>0</v>
      </c>
      <c r="I233" s="231">
        <v>0</v>
      </c>
      <c r="J233" s="232">
        <v>0</v>
      </c>
      <c r="K233" s="733"/>
      <c r="L233" s="627"/>
      <c r="M233" s="339"/>
    </row>
    <row r="234" spans="1:13" ht="13.5" customHeight="1" hidden="1">
      <c r="A234" s="693"/>
      <c r="B234" s="694"/>
      <c r="C234" s="233" t="s">
        <v>17</v>
      </c>
      <c r="D234" s="695"/>
      <c r="E234" s="311">
        <f t="shared" si="16"/>
        <v>0</v>
      </c>
      <c r="F234" s="233">
        <v>0</v>
      </c>
      <c r="G234" s="233">
        <v>0</v>
      </c>
      <c r="H234" s="233">
        <v>0</v>
      </c>
      <c r="I234" s="233">
        <v>0</v>
      </c>
      <c r="J234" s="234">
        <v>0</v>
      </c>
      <c r="K234" s="733"/>
      <c r="L234" s="627"/>
      <c r="M234" s="339"/>
    </row>
    <row r="235" spans="1:13" ht="13.5" customHeight="1" hidden="1">
      <c r="A235" s="693"/>
      <c r="B235" s="694" t="s">
        <v>100</v>
      </c>
      <c r="C235" s="229" t="s">
        <v>14</v>
      </c>
      <c r="D235" s="695" t="s">
        <v>153</v>
      </c>
      <c r="E235" s="308">
        <f t="shared" si="16"/>
        <v>0</v>
      </c>
      <c r="F235" s="229">
        <v>0</v>
      </c>
      <c r="G235" s="212">
        <v>0</v>
      </c>
      <c r="H235" s="212">
        <v>0</v>
      </c>
      <c r="I235" s="229">
        <v>0</v>
      </c>
      <c r="J235" s="230">
        <v>0</v>
      </c>
      <c r="K235" s="733"/>
      <c r="L235" s="627"/>
      <c r="M235" s="339"/>
    </row>
    <row r="236" spans="1:13" ht="13.5" customHeight="1" hidden="1">
      <c r="A236" s="693"/>
      <c r="B236" s="694"/>
      <c r="C236" s="231" t="s">
        <v>16</v>
      </c>
      <c r="D236" s="695"/>
      <c r="E236" s="309">
        <f t="shared" si="16"/>
        <v>0</v>
      </c>
      <c r="F236" s="231">
        <v>0</v>
      </c>
      <c r="G236" s="213">
        <v>0</v>
      </c>
      <c r="H236" s="213">
        <v>0</v>
      </c>
      <c r="I236" s="231">
        <v>0</v>
      </c>
      <c r="J236" s="232">
        <v>0</v>
      </c>
      <c r="K236" s="733"/>
      <c r="L236" s="627"/>
      <c r="M236" s="339"/>
    </row>
    <row r="237" spans="1:13" ht="12" customHeight="1" hidden="1">
      <c r="A237" s="693"/>
      <c r="B237" s="694"/>
      <c r="C237" s="233" t="s">
        <v>17</v>
      </c>
      <c r="D237" s="695"/>
      <c r="E237" s="311">
        <f t="shared" si="16"/>
        <v>0</v>
      </c>
      <c r="F237" s="233">
        <v>0</v>
      </c>
      <c r="G237" s="214">
        <v>0</v>
      </c>
      <c r="H237" s="214">
        <v>0</v>
      </c>
      <c r="I237" s="233">
        <v>0</v>
      </c>
      <c r="J237" s="234">
        <v>0</v>
      </c>
      <c r="K237" s="733"/>
      <c r="L237" s="627"/>
      <c r="M237" s="339"/>
    </row>
    <row r="238" spans="1:13" ht="13.5" customHeight="1" thickBot="1">
      <c r="A238" s="669" t="s">
        <v>181</v>
      </c>
      <c r="B238" s="680" t="s">
        <v>135</v>
      </c>
      <c r="C238" s="203" t="s">
        <v>14</v>
      </c>
      <c r="D238" s="692">
        <f>D241+D244</f>
        <v>2265000</v>
      </c>
      <c r="E238" s="305">
        <f t="shared" si="16"/>
        <v>0</v>
      </c>
      <c r="F238" s="203">
        <f>F241+F244</f>
        <v>0</v>
      </c>
      <c r="G238" s="203">
        <f>G241+G244</f>
        <v>0</v>
      </c>
      <c r="H238" s="203">
        <f>H241+H244</f>
        <v>0</v>
      </c>
      <c r="I238" s="203">
        <f>I241+I244</f>
        <v>0</v>
      </c>
      <c r="J238" s="204">
        <f>J241+J244</f>
        <v>0</v>
      </c>
      <c r="K238" s="733"/>
      <c r="L238" s="627"/>
      <c r="M238" s="339"/>
    </row>
    <row r="239" spans="1:13" ht="13.5" thickBot="1">
      <c r="A239" s="669"/>
      <c r="B239" s="680"/>
      <c r="C239" s="205" t="s">
        <v>16</v>
      </c>
      <c r="D239" s="692"/>
      <c r="E239" s="306">
        <f t="shared" si="16"/>
        <v>0</v>
      </c>
      <c r="F239" s="205">
        <f aca="true" t="shared" si="17" ref="F239:J240">F242+F245</f>
        <v>0</v>
      </c>
      <c r="G239" s="205">
        <f t="shared" si="17"/>
        <v>0</v>
      </c>
      <c r="H239" s="205">
        <f t="shared" si="17"/>
        <v>0</v>
      </c>
      <c r="I239" s="205">
        <f t="shared" si="17"/>
        <v>0</v>
      </c>
      <c r="J239" s="206">
        <f t="shared" si="17"/>
        <v>0</v>
      </c>
      <c r="K239" s="733"/>
      <c r="L239" s="627"/>
      <c r="M239" s="339"/>
    </row>
    <row r="240" spans="1:13" ht="15" customHeight="1" thickBot="1">
      <c r="A240" s="669"/>
      <c r="B240" s="680"/>
      <c r="C240" s="207" t="s">
        <v>17</v>
      </c>
      <c r="D240" s="692"/>
      <c r="E240" s="307">
        <f t="shared" si="16"/>
        <v>0</v>
      </c>
      <c r="F240" s="207">
        <f t="shared" si="17"/>
        <v>0</v>
      </c>
      <c r="G240" s="207">
        <f t="shared" si="17"/>
        <v>0</v>
      </c>
      <c r="H240" s="207">
        <f t="shared" si="17"/>
        <v>0</v>
      </c>
      <c r="I240" s="207">
        <f t="shared" si="17"/>
        <v>0</v>
      </c>
      <c r="J240" s="208">
        <f t="shared" si="17"/>
        <v>0</v>
      </c>
      <c r="K240" s="734"/>
      <c r="L240" s="627"/>
      <c r="M240" s="339"/>
    </row>
    <row r="241" spans="1:13" ht="15.75" customHeight="1" hidden="1">
      <c r="A241" s="690"/>
      <c r="B241" s="690" t="s">
        <v>104</v>
      </c>
      <c r="C241" s="182" t="s">
        <v>14</v>
      </c>
      <c r="D241" s="691">
        <v>954000</v>
      </c>
      <c r="E241" s="312">
        <f t="shared" si="16"/>
        <v>0</v>
      </c>
      <c r="F241" s="182">
        <v>0</v>
      </c>
      <c r="G241" s="182">
        <v>0</v>
      </c>
      <c r="H241" s="182">
        <v>0</v>
      </c>
      <c r="I241" s="182">
        <v>0</v>
      </c>
      <c r="J241" s="183">
        <v>0</v>
      </c>
      <c r="K241" s="188"/>
      <c r="L241" s="627"/>
      <c r="M241" s="339"/>
    </row>
    <row r="242" spans="1:13" ht="13.5" hidden="1" thickBot="1">
      <c r="A242" s="690"/>
      <c r="B242" s="690"/>
      <c r="C242" s="184" t="s">
        <v>16</v>
      </c>
      <c r="D242" s="691"/>
      <c r="E242" s="313">
        <f t="shared" si="16"/>
        <v>0</v>
      </c>
      <c r="F242" s="184">
        <v>0</v>
      </c>
      <c r="G242" s="184">
        <v>0</v>
      </c>
      <c r="H242" s="184">
        <v>0</v>
      </c>
      <c r="I242" s="184">
        <v>0</v>
      </c>
      <c r="J242" s="185">
        <v>0</v>
      </c>
      <c r="K242" s="189"/>
      <c r="L242" s="627"/>
      <c r="M242" s="339"/>
    </row>
    <row r="243" spans="1:13" ht="13.5" hidden="1" thickBot="1">
      <c r="A243" s="690"/>
      <c r="B243" s="690"/>
      <c r="C243" s="186" t="s">
        <v>17</v>
      </c>
      <c r="D243" s="691"/>
      <c r="E243" s="314">
        <f t="shared" si="16"/>
        <v>0</v>
      </c>
      <c r="F243" s="186">
        <v>0</v>
      </c>
      <c r="G243" s="186">
        <v>0</v>
      </c>
      <c r="H243" s="186">
        <v>0</v>
      </c>
      <c r="I243" s="186">
        <v>0</v>
      </c>
      <c r="J243" s="187">
        <v>0</v>
      </c>
      <c r="K243" s="190"/>
      <c r="L243" s="627"/>
      <c r="M243" s="339"/>
    </row>
    <row r="244" spans="1:14" ht="13.5" customHeight="1" hidden="1">
      <c r="A244" s="690"/>
      <c r="B244" s="690" t="s">
        <v>105</v>
      </c>
      <c r="C244" s="182" t="s">
        <v>14</v>
      </c>
      <c r="D244" s="691">
        <v>1311000</v>
      </c>
      <c r="E244" s="312">
        <f t="shared" si="16"/>
        <v>0</v>
      </c>
      <c r="F244" s="182">
        <v>0</v>
      </c>
      <c r="G244" s="182">
        <v>0</v>
      </c>
      <c r="H244" s="182">
        <v>0</v>
      </c>
      <c r="I244" s="182">
        <v>0</v>
      </c>
      <c r="J244" s="183">
        <v>0</v>
      </c>
      <c r="K244" s="188"/>
      <c r="L244" s="627"/>
      <c r="M244" s="339"/>
      <c r="N244" s="49"/>
    </row>
    <row r="245" spans="1:13" ht="13.5" hidden="1" thickBot="1">
      <c r="A245" s="690"/>
      <c r="B245" s="690"/>
      <c r="C245" s="184" t="s">
        <v>16</v>
      </c>
      <c r="D245" s="691"/>
      <c r="E245" s="313">
        <f t="shared" si="16"/>
        <v>0</v>
      </c>
      <c r="F245" s="184">
        <v>0</v>
      </c>
      <c r="G245" s="184">
        <v>0</v>
      </c>
      <c r="H245" s="184">
        <v>0</v>
      </c>
      <c r="I245" s="184">
        <v>0</v>
      </c>
      <c r="J245" s="185">
        <v>0</v>
      </c>
      <c r="K245" s="189"/>
      <c r="L245" s="627"/>
      <c r="M245" s="339"/>
    </row>
    <row r="246" spans="1:13" ht="13.5" hidden="1" thickBot="1">
      <c r="A246" s="690"/>
      <c r="B246" s="690"/>
      <c r="C246" s="186" t="s">
        <v>17</v>
      </c>
      <c r="D246" s="691"/>
      <c r="E246" s="314">
        <f t="shared" si="16"/>
        <v>0</v>
      </c>
      <c r="F246" s="186">
        <v>0</v>
      </c>
      <c r="G246" s="186">
        <v>0</v>
      </c>
      <c r="H246" s="186">
        <v>0</v>
      </c>
      <c r="I246" s="186">
        <v>0</v>
      </c>
      <c r="J246" s="187">
        <v>0</v>
      </c>
      <c r="K246" s="190"/>
      <c r="L246" s="627"/>
      <c r="M246" s="339"/>
    </row>
    <row r="247" spans="1:13" ht="13.5" customHeight="1" thickBot="1">
      <c r="A247" s="682"/>
      <c r="B247" s="683" t="s">
        <v>74</v>
      </c>
      <c r="C247" s="164" t="s">
        <v>14</v>
      </c>
      <c r="D247" s="684"/>
      <c r="E247" s="296">
        <f t="shared" si="16"/>
        <v>45899.6</v>
      </c>
      <c r="F247" s="164">
        <f>F166+F169+F190+F202+F214+F226+F238</f>
        <v>45899.6</v>
      </c>
      <c r="G247" s="164">
        <f aca="true" t="shared" si="18" ref="G247:J248">G166+G169+G190+G202+G214+G226+G238</f>
        <v>0</v>
      </c>
      <c r="H247" s="164">
        <f t="shared" si="18"/>
        <v>0</v>
      </c>
      <c r="I247" s="164">
        <f t="shared" si="18"/>
        <v>0</v>
      </c>
      <c r="J247" s="164">
        <f t="shared" si="18"/>
        <v>0</v>
      </c>
      <c r="K247" s="166"/>
      <c r="L247" s="627"/>
      <c r="M247" s="339"/>
    </row>
    <row r="248" spans="1:13" ht="13.5" thickBot="1">
      <c r="A248" s="682"/>
      <c r="B248" s="683"/>
      <c r="C248" s="167" t="s">
        <v>16</v>
      </c>
      <c r="D248" s="684"/>
      <c r="E248" s="297">
        <f t="shared" si="16"/>
        <v>405000</v>
      </c>
      <c r="F248" s="167">
        <f>F167+F170+F191+F203+F215+F227+F239</f>
        <v>405000</v>
      </c>
      <c r="G248" s="167">
        <f t="shared" si="18"/>
        <v>0</v>
      </c>
      <c r="H248" s="167">
        <f t="shared" si="18"/>
        <v>0</v>
      </c>
      <c r="I248" s="167">
        <f t="shared" si="18"/>
        <v>0</v>
      </c>
      <c r="J248" s="167">
        <f t="shared" si="18"/>
        <v>0</v>
      </c>
      <c r="K248" s="169"/>
      <c r="L248" s="627"/>
      <c r="M248" s="339"/>
    </row>
    <row r="249" spans="1:13" ht="13.5" thickBot="1">
      <c r="A249" s="682"/>
      <c r="B249" s="683"/>
      <c r="C249" s="170" t="s">
        <v>17</v>
      </c>
      <c r="D249" s="684"/>
      <c r="E249" s="298">
        <f t="shared" si="16"/>
        <v>0</v>
      </c>
      <c r="F249" s="170">
        <f>F168+F171+F192+F204+F216+F228+F240</f>
        <v>0</v>
      </c>
      <c r="G249" s="170">
        <f>G168+G171+G192+G204+G216+G228+G240</f>
        <v>0</v>
      </c>
      <c r="H249" s="170">
        <f>H168+H171+H192+H204+H216+H228+H240</f>
        <v>0</v>
      </c>
      <c r="I249" s="170">
        <f>I168+I171+I192+I204+I216+I228+I240</f>
        <v>0</v>
      </c>
      <c r="J249" s="170">
        <f>J168+J171+J192+J204+J216+J228+J240</f>
        <v>0</v>
      </c>
      <c r="K249" s="171"/>
      <c r="L249" s="627"/>
      <c r="M249" s="339"/>
    </row>
    <row r="250" spans="1:14" ht="15.75" customHeight="1" thickBot="1">
      <c r="A250" s="685"/>
      <c r="B250" s="686" t="s">
        <v>75</v>
      </c>
      <c r="C250" s="191" t="s">
        <v>14</v>
      </c>
      <c r="D250" s="332">
        <f>SUM(F250:J250)</f>
        <v>66392544.34</v>
      </c>
      <c r="E250" s="192">
        <f t="shared" si="16"/>
        <v>66392544.34</v>
      </c>
      <c r="F250" s="192">
        <f>F138+F158+F247</f>
        <v>28421539.830000002</v>
      </c>
      <c r="G250" s="192">
        <f>G138+G158+G247</f>
        <v>25036446.93</v>
      </c>
      <c r="H250" s="192">
        <f>H138+H158+H247</f>
        <v>5328555.119999999</v>
      </c>
      <c r="I250" s="192">
        <f>I138+I158+I247</f>
        <v>3806002.46</v>
      </c>
      <c r="J250" s="192">
        <f>J138+J158+J247</f>
        <v>3800000</v>
      </c>
      <c r="K250" s="193"/>
      <c r="L250" s="627"/>
      <c r="M250" s="340"/>
      <c r="N250" s="261"/>
    </row>
    <row r="251" spans="1:14" ht="15.75" thickBot="1">
      <c r="A251" s="685"/>
      <c r="B251" s="686"/>
      <c r="C251" s="194" t="s">
        <v>16</v>
      </c>
      <c r="D251" s="332">
        <f>SUM(F251:J251)</f>
        <v>14358813.32</v>
      </c>
      <c r="E251" s="195">
        <f t="shared" si="16"/>
        <v>14358813.32</v>
      </c>
      <c r="F251" s="195">
        <f aca="true" t="shared" si="19" ref="F251:J252">F139+F159+F248</f>
        <v>405000</v>
      </c>
      <c r="G251" s="195">
        <f t="shared" si="19"/>
        <v>7182949.96</v>
      </c>
      <c r="H251" s="195">
        <f>H139+H159+H248</f>
        <v>6770863.360000001</v>
      </c>
      <c r="I251" s="195">
        <f t="shared" si="19"/>
        <v>0</v>
      </c>
      <c r="J251" s="195">
        <f t="shared" si="19"/>
        <v>0</v>
      </c>
      <c r="K251" s="196"/>
      <c r="L251" s="627"/>
      <c r="M251" s="340"/>
      <c r="N251" s="261"/>
    </row>
    <row r="252" spans="1:13" ht="15.75" thickBot="1">
      <c r="A252" s="685"/>
      <c r="B252" s="686"/>
      <c r="C252" s="197" t="s">
        <v>17</v>
      </c>
      <c r="D252" s="332">
        <f>SUM(F252:J252)</f>
        <v>168588975.98</v>
      </c>
      <c r="E252" s="198">
        <f t="shared" si="16"/>
        <v>168588975.98</v>
      </c>
      <c r="F252" s="325">
        <f t="shared" si="19"/>
        <v>3752000</v>
      </c>
      <c r="G252" s="325">
        <f t="shared" si="19"/>
        <v>83520975.97999999</v>
      </c>
      <c r="H252" s="325">
        <f t="shared" si="19"/>
        <v>48752000</v>
      </c>
      <c r="I252" s="325">
        <f t="shared" si="19"/>
        <v>32564000</v>
      </c>
      <c r="J252" s="325">
        <f t="shared" si="19"/>
        <v>0</v>
      </c>
      <c r="K252" s="199"/>
      <c r="L252" s="730"/>
      <c r="M252" s="339"/>
    </row>
    <row r="253" spans="1:13" ht="15.75" thickBot="1">
      <c r="A253" s="200"/>
      <c r="B253" s="200" t="s">
        <v>111</v>
      </c>
      <c r="C253" s="200"/>
      <c r="D253" s="332">
        <f>F253+G253+H253+I253+J253</f>
        <v>249340333.64000002</v>
      </c>
      <c r="E253" s="201">
        <f t="shared" si="16"/>
        <v>249340333.64000002</v>
      </c>
      <c r="F253" s="382">
        <f>SUM(F250:F252)</f>
        <v>32578539.830000002</v>
      </c>
      <c r="G253" s="382">
        <f>SUM(G250:G252)</f>
        <v>115740372.86999999</v>
      </c>
      <c r="H253" s="382">
        <f>SUM(H250:H252)</f>
        <v>60851418.480000004</v>
      </c>
      <c r="I253" s="382">
        <f>SUM(I250:I252)</f>
        <v>36370002.46</v>
      </c>
      <c r="J253" s="382">
        <f>SUM(J250:J252)</f>
        <v>3800000</v>
      </c>
      <c r="K253" s="383"/>
      <c r="L253" s="113"/>
      <c r="M253" s="333"/>
    </row>
    <row r="254" spans="4:11" ht="15">
      <c r="D254" s="95"/>
      <c r="F254" s="96"/>
      <c r="G254" s="96"/>
      <c r="H254" s="96"/>
      <c r="I254" s="96"/>
      <c r="J254" s="96"/>
      <c r="K254" s="96"/>
    </row>
    <row r="255" spans="3:15" ht="15">
      <c r="C255" t="s">
        <v>77</v>
      </c>
      <c r="D255" s="660"/>
      <c r="E255" s="49"/>
      <c r="F255" s="324"/>
      <c r="G255" s="324"/>
      <c r="H255" s="324"/>
      <c r="I255" s="324"/>
      <c r="J255" s="324"/>
      <c r="O255" s="261"/>
    </row>
    <row r="256" spans="4:15" ht="15">
      <c r="D256" s="660"/>
      <c r="E256" s="261"/>
      <c r="F256" s="333"/>
      <c r="G256" s="324"/>
      <c r="H256" s="334"/>
      <c r="I256" s="334"/>
      <c r="J256" s="261"/>
      <c r="O256" s="261"/>
    </row>
    <row r="257" spans="5:15" ht="12.75">
      <c r="E257" s="261"/>
      <c r="F257" s="335"/>
      <c r="G257" s="335"/>
      <c r="H257" s="334"/>
      <c r="I257" s="334"/>
      <c r="J257" s="261"/>
      <c r="O257" s="261"/>
    </row>
    <row r="258" spans="3:9" ht="12.75">
      <c r="C258" s="261"/>
      <c r="F258" s="335"/>
      <c r="G258" s="335"/>
      <c r="H258" s="334"/>
      <c r="I258" s="334"/>
    </row>
    <row r="259" spans="8:15" ht="12.75">
      <c r="H259" s="261"/>
      <c r="I259" s="331"/>
      <c r="J259" s="331"/>
      <c r="O259" s="261"/>
    </row>
    <row r="260" spans="8:15" ht="12.75">
      <c r="H260" s="261"/>
      <c r="O260" s="261"/>
    </row>
    <row r="263" ht="12.75">
      <c r="O263" s="261"/>
    </row>
    <row r="265" ht="12.75">
      <c r="L265" s="261"/>
    </row>
  </sheetData>
  <sheetProtection/>
  <mergeCells count="256">
    <mergeCell ref="A5:L5"/>
    <mergeCell ref="A6:L6"/>
    <mergeCell ref="A9:A10"/>
    <mergeCell ref="B9:B10"/>
    <mergeCell ref="C9:C10"/>
    <mergeCell ref="D9:D10"/>
    <mergeCell ref="E9:E10"/>
    <mergeCell ref="F9:J9"/>
    <mergeCell ref="K9:K10"/>
    <mergeCell ref="L9:L10"/>
    <mergeCell ref="A11:L11"/>
    <mergeCell ref="A12:A14"/>
    <mergeCell ref="B12:B14"/>
    <mergeCell ref="D12:D14"/>
    <mergeCell ref="L12:L252"/>
    <mergeCell ref="A15:A17"/>
    <mergeCell ref="B15:B17"/>
    <mergeCell ref="D15:D17"/>
    <mergeCell ref="A18:A20"/>
    <mergeCell ref="B18:B20"/>
    <mergeCell ref="D18:D20"/>
    <mergeCell ref="K18:K20"/>
    <mergeCell ref="A21:A23"/>
    <mergeCell ref="B21:B23"/>
    <mergeCell ref="D21:D23"/>
    <mergeCell ref="A24:A26"/>
    <mergeCell ref="B24:B26"/>
    <mergeCell ref="D24:D26"/>
    <mergeCell ref="A27:A29"/>
    <mergeCell ref="B27:B29"/>
    <mergeCell ref="D27:D29"/>
    <mergeCell ref="K27:K29"/>
    <mergeCell ref="A30:A32"/>
    <mergeCell ref="B30:B32"/>
    <mergeCell ref="D30:D32"/>
    <mergeCell ref="A33:A35"/>
    <mergeCell ref="B33:B35"/>
    <mergeCell ref="D33:D35"/>
    <mergeCell ref="A36:A38"/>
    <mergeCell ref="B36:B38"/>
    <mergeCell ref="D36:D38"/>
    <mergeCell ref="A39:A41"/>
    <mergeCell ref="B39:B41"/>
    <mergeCell ref="D39:D41"/>
    <mergeCell ref="K39:K41"/>
    <mergeCell ref="A42:A44"/>
    <mergeCell ref="B42:B44"/>
    <mergeCell ref="D42:D44"/>
    <mergeCell ref="A45:A47"/>
    <mergeCell ref="B45:B47"/>
    <mergeCell ref="D45:D47"/>
    <mergeCell ref="A48:A50"/>
    <mergeCell ref="B48:B50"/>
    <mergeCell ref="D48:D50"/>
    <mergeCell ref="A51:A53"/>
    <mergeCell ref="B51:B53"/>
    <mergeCell ref="A54:A56"/>
    <mergeCell ref="B54:B56"/>
    <mergeCell ref="D54:D56"/>
    <mergeCell ref="A57:A59"/>
    <mergeCell ref="B57:B59"/>
    <mergeCell ref="D57:D59"/>
    <mergeCell ref="A60:A62"/>
    <mergeCell ref="B60:B62"/>
    <mergeCell ref="D60:D62"/>
    <mergeCell ref="A63:A65"/>
    <mergeCell ref="B63:B65"/>
    <mergeCell ref="D63:D65"/>
    <mergeCell ref="A66:A68"/>
    <mergeCell ref="B66:B68"/>
    <mergeCell ref="D66:D68"/>
    <mergeCell ref="A69:A71"/>
    <mergeCell ref="B69:B71"/>
    <mergeCell ref="D69:D71"/>
    <mergeCell ref="A72:A74"/>
    <mergeCell ref="B72:B74"/>
    <mergeCell ref="D72:D74"/>
    <mergeCell ref="A75:A77"/>
    <mergeCell ref="B75:B77"/>
    <mergeCell ref="D75:D77"/>
    <mergeCell ref="K75:K77"/>
    <mergeCell ref="A78:A80"/>
    <mergeCell ref="B78:B80"/>
    <mergeCell ref="D78:D80"/>
    <mergeCell ref="A81:A83"/>
    <mergeCell ref="B81:B83"/>
    <mergeCell ref="D81:D83"/>
    <mergeCell ref="A84:A86"/>
    <mergeCell ref="B84:B86"/>
    <mergeCell ref="D84:D86"/>
    <mergeCell ref="A87:A89"/>
    <mergeCell ref="B87:B89"/>
    <mergeCell ref="D87:D89"/>
    <mergeCell ref="A90:A92"/>
    <mergeCell ref="B90:B92"/>
    <mergeCell ref="D90:D92"/>
    <mergeCell ref="A93:A95"/>
    <mergeCell ref="B93:B95"/>
    <mergeCell ref="D93:D95"/>
    <mergeCell ref="A96:A98"/>
    <mergeCell ref="B96:B98"/>
    <mergeCell ref="D96:D98"/>
    <mergeCell ref="A99:A101"/>
    <mergeCell ref="B99:B101"/>
    <mergeCell ref="D99:D101"/>
    <mergeCell ref="A102:A104"/>
    <mergeCell ref="B102:B104"/>
    <mergeCell ref="D102:D104"/>
    <mergeCell ref="K102:K104"/>
    <mergeCell ref="A105:A107"/>
    <mergeCell ref="B105:B107"/>
    <mergeCell ref="D105:D107"/>
    <mergeCell ref="A108:A110"/>
    <mergeCell ref="B108:B110"/>
    <mergeCell ref="D108:D110"/>
    <mergeCell ref="A111:A113"/>
    <mergeCell ref="B111:B113"/>
    <mergeCell ref="D111:D113"/>
    <mergeCell ref="A114:A116"/>
    <mergeCell ref="B114:B116"/>
    <mergeCell ref="D114:D116"/>
    <mergeCell ref="A117:A119"/>
    <mergeCell ref="B117:B119"/>
    <mergeCell ref="D117:D119"/>
    <mergeCell ref="A120:A122"/>
    <mergeCell ref="B120:B122"/>
    <mergeCell ref="D120:D122"/>
    <mergeCell ref="A123:A125"/>
    <mergeCell ref="B123:B125"/>
    <mergeCell ref="D123:D125"/>
    <mergeCell ref="A126:A128"/>
    <mergeCell ref="B126:B128"/>
    <mergeCell ref="D126:D128"/>
    <mergeCell ref="A129:A131"/>
    <mergeCell ref="B129:B131"/>
    <mergeCell ref="D129:D131"/>
    <mergeCell ref="A132:A134"/>
    <mergeCell ref="B132:B134"/>
    <mergeCell ref="D132:D134"/>
    <mergeCell ref="A135:A137"/>
    <mergeCell ref="B135:B137"/>
    <mergeCell ref="D135:D137"/>
    <mergeCell ref="A138:A140"/>
    <mergeCell ref="B138:B140"/>
    <mergeCell ref="D138:D140"/>
    <mergeCell ref="A142:J142"/>
    <mergeCell ref="A143:A145"/>
    <mergeCell ref="B143:B145"/>
    <mergeCell ref="D143:D145"/>
    <mergeCell ref="A146:A148"/>
    <mergeCell ref="B146:B148"/>
    <mergeCell ref="D146:D148"/>
    <mergeCell ref="A149:A151"/>
    <mergeCell ref="B149:B151"/>
    <mergeCell ref="D149:D151"/>
    <mergeCell ref="A152:A154"/>
    <mergeCell ref="B152:B154"/>
    <mergeCell ref="D152:D154"/>
    <mergeCell ref="A155:A157"/>
    <mergeCell ref="B155:B157"/>
    <mergeCell ref="D155:D157"/>
    <mergeCell ref="A158:A160"/>
    <mergeCell ref="B158:B160"/>
    <mergeCell ref="D158:D160"/>
    <mergeCell ref="A161:A163"/>
    <mergeCell ref="B161:B163"/>
    <mergeCell ref="D161:D163"/>
    <mergeCell ref="A165:J165"/>
    <mergeCell ref="A166:A168"/>
    <mergeCell ref="B166:B168"/>
    <mergeCell ref="D166:D168"/>
    <mergeCell ref="K166:K240"/>
    <mergeCell ref="A169:A171"/>
    <mergeCell ref="B169:B171"/>
    <mergeCell ref="D169:D171"/>
    <mergeCell ref="A172:A174"/>
    <mergeCell ref="B172:B174"/>
    <mergeCell ref="D172:D174"/>
    <mergeCell ref="A175:A177"/>
    <mergeCell ref="B175:B177"/>
    <mergeCell ref="D175:D177"/>
    <mergeCell ref="A178:A180"/>
    <mergeCell ref="B178:B180"/>
    <mergeCell ref="D178:D180"/>
    <mergeCell ref="A181:A183"/>
    <mergeCell ref="B181:B183"/>
    <mergeCell ref="D181:D183"/>
    <mergeCell ref="A184:A186"/>
    <mergeCell ref="B184:B186"/>
    <mergeCell ref="D184:D186"/>
    <mergeCell ref="A187:A189"/>
    <mergeCell ref="B187:B189"/>
    <mergeCell ref="D187:D189"/>
    <mergeCell ref="A190:A192"/>
    <mergeCell ref="B190:B192"/>
    <mergeCell ref="D190:D192"/>
    <mergeCell ref="A193:A195"/>
    <mergeCell ref="B193:B195"/>
    <mergeCell ref="D193:D195"/>
    <mergeCell ref="A196:A198"/>
    <mergeCell ref="B196:B198"/>
    <mergeCell ref="D196:D198"/>
    <mergeCell ref="A199:A201"/>
    <mergeCell ref="B199:B201"/>
    <mergeCell ref="D199:D201"/>
    <mergeCell ref="A202:A204"/>
    <mergeCell ref="B202:B204"/>
    <mergeCell ref="D202:D204"/>
    <mergeCell ref="A205:A207"/>
    <mergeCell ref="B205:B207"/>
    <mergeCell ref="D205:D207"/>
    <mergeCell ref="A208:A210"/>
    <mergeCell ref="B208:B210"/>
    <mergeCell ref="D208:D210"/>
    <mergeCell ref="A211:A213"/>
    <mergeCell ref="B211:B213"/>
    <mergeCell ref="D211:D213"/>
    <mergeCell ref="A214:A216"/>
    <mergeCell ref="B214:B216"/>
    <mergeCell ref="D214:D216"/>
    <mergeCell ref="A217:A219"/>
    <mergeCell ref="B217:B219"/>
    <mergeCell ref="D217:D219"/>
    <mergeCell ref="A220:A222"/>
    <mergeCell ref="B220:B222"/>
    <mergeCell ref="D220:D222"/>
    <mergeCell ref="A223:A225"/>
    <mergeCell ref="B223:B225"/>
    <mergeCell ref="D223:D225"/>
    <mergeCell ref="A226:A228"/>
    <mergeCell ref="B226:B228"/>
    <mergeCell ref="D226:D228"/>
    <mergeCell ref="A229:A231"/>
    <mergeCell ref="B229:B231"/>
    <mergeCell ref="D229:D231"/>
    <mergeCell ref="A232:A234"/>
    <mergeCell ref="B232:B234"/>
    <mergeCell ref="D232:D234"/>
    <mergeCell ref="A235:A237"/>
    <mergeCell ref="B235:B237"/>
    <mergeCell ref="D235:D237"/>
    <mergeCell ref="A238:A240"/>
    <mergeCell ref="B238:B240"/>
    <mergeCell ref="D238:D240"/>
    <mergeCell ref="A241:A243"/>
    <mergeCell ref="B241:B243"/>
    <mergeCell ref="D241:D243"/>
    <mergeCell ref="A244:A246"/>
    <mergeCell ref="B244:B246"/>
    <mergeCell ref="D244:D246"/>
    <mergeCell ref="A247:A249"/>
    <mergeCell ref="B247:B249"/>
    <mergeCell ref="D247:D249"/>
    <mergeCell ref="A250:A252"/>
    <mergeCell ref="B250:B252"/>
    <mergeCell ref="D255:D25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82"/>
  <sheetViews>
    <sheetView tabSelected="1" view="pageLayout" zoomScale="58" zoomScaleNormal="80" zoomScalePageLayoutView="58" workbookViewId="0" topLeftCell="A1">
      <selection activeCell="L6" sqref="L6"/>
    </sheetView>
  </sheetViews>
  <sheetFormatPr defaultColWidth="11.57421875" defaultRowHeight="12.75"/>
  <cols>
    <col min="1" max="1" width="6.8515625" style="0" customWidth="1"/>
    <col min="2" max="2" width="80.7109375" style="0" customWidth="1"/>
    <col min="3" max="3" width="37.00390625" style="0" customWidth="1"/>
    <col min="4" max="4" width="18.00390625" style="0" customWidth="1"/>
    <col min="5" max="5" width="13.57421875" style="0" hidden="1" customWidth="1"/>
    <col min="6" max="6" width="15.421875" style="0" customWidth="1"/>
    <col min="7" max="7" width="17.28125" style="0" customWidth="1"/>
    <col min="8" max="8" width="15.28125" style="0" customWidth="1"/>
    <col min="9" max="9" width="16.8515625" style="0" customWidth="1"/>
    <col min="10" max="10" width="17.7109375" style="0" customWidth="1"/>
    <col min="11" max="11" width="24.57421875" style="0" customWidth="1"/>
    <col min="12" max="12" width="29.7109375" style="0" customWidth="1"/>
    <col min="13" max="13" width="12.7109375" style="0" customWidth="1"/>
    <col min="14" max="14" width="12.28125" style="0" bestFit="1" customWidth="1"/>
    <col min="15" max="15" width="12.7109375" style="0" bestFit="1" customWidth="1"/>
  </cols>
  <sheetData>
    <row r="1" spans="12:13" ht="12.75">
      <c r="L1" s="110" t="s">
        <v>203</v>
      </c>
      <c r="M1" s="110"/>
    </row>
    <row r="2" spans="1:13" ht="12.75">
      <c r="A2" s="395"/>
      <c r="B2" s="395"/>
      <c r="C2" s="396"/>
      <c r="D2" s="395"/>
      <c r="E2" s="395"/>
      <c r="F2" s="395"/>
      <c r="G2" s="395"/>
      <c r="H2" s="395"/>
      <c r="I2" s="395"/>
      <c r="J2" s="395"/>
      <c r="K2" s="395"/>
      <c r="L2" s="397" t="s">
        <v>202</v>
      </c>
      <c r="M2" s="110"/>
    </row>
    <row r="3" spans="1:13" ht="12.75">
      <c r="A3" s="395"/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8" t="s">
        <v>216</v>
      </c>
      <c r="M3" s="110"/>
    </row>
    <row r="4" spans="1:13" ht="13.5" customHeight="1">
      <c r="A4" s="399"/>
      <c r="B4" s="399"/>
      <c r="C4" s="399"/>
      <c r="D4" s="399"/>
      <c r="E4" s="400"/>
      <c r="F4" s="399"/>
      <c r="G4" s="399"/>
      <c r="H4" s="399"/>
      <c r="I4" s="399"/>
      <c r="J4" s="399"/>
      <c r="K4" s="399"/>
      <c r="L4" s="401"/>
      <c r="M4" s="111"/>
    </row>
    <row r="5" spans="1:13" ht="15">
      <c r="A5" s="401"/>
      <c r="B5" s="770" t="s">
        <v>3</v>
      </c>
      <c r="C5" s="770"/>
      <c r="D5" s="770"/>
      <c r="E5" s="770"/>
      <c r="F5" s="770"/>
      <c r="G5" s="770"/>
      <c r="H5" s="770"/>
      <c r="I5" s="770"/>
      <c r="J5" s="401"/>
      <c r="K5" s="401"/>
      <c r="L5" s="402"/>
      <c r="M5" s="336"/>
    </row>
    <row r="6" spans="1:13" ht="15.75" customHeight="1">
      <c r="A6" s="402"/>
      <c r="B6" s="771" t="s">
        <v>4</v>
      </c>
      <c r="C6" s="771"/>
      <c r="D6" s="771"/>
      <c r="E6" s="771"/>
      <c r="F6" s="771"/>
      <c r="G6" s="771"/>
      <c r="H6" s="771"/>
      <c r="I6" s="771"/>
      <c r="J6" s="402"/>
      <c r="K6" s="402"/>
      <c r="L6" s="402"/>
      <c r="M6" s="112"/>
    </row>
    <row r="7" spans="1:13" ht="15.75" customHeight="1">
      <c r="A7" s="402"/>
      <c r="B7" s="402"/>
      <c r="C7" s="402"/>
      <c r="D7" s="402"/>
      <c r="E7" s="402"/>
      <c r="F7" s="402"/>
      <c r="G7" s="402"/>
      <c r="H7" s="402"/>
      <c r="I7" s="402"/>
      <c r="J7" s="402"/>
      <c r="K7" s="402"/>
      <c r="L7" s="403"/>
      <c r="M7" s="112"/>
    </row>
    <row r="8" spans="1:13" ht="12.75" customHeight="1">
      <c r="A8" s="404"/>
      <c r="B8" s="403"/>
      <c r="C8" s="403"/>
      <c r="D8" s="403"/>
      <c r="E8" s="403"/>
      <c r="F8" s="403"/>
      <c r="G8" s="403"/>
      <c r="H8" s="403"/>
      <c r="I8" s="403"/>
      <c r="J8" s="403"/>
      <c r="K8" s="403"/>
      <c r="L8" s="405"/>
      <c r="M8" s="8"/>
    </row>
    <row r="9" spans="1:14" s="10" customFormat="1" ht="18.75" customHeight="1">
      <c r="A9" s="772" t="s">
        <v>5</v>
      </c>
      <c r="B9" s="774" t="s">
        <v>6</v>
      </c>
      <c r="C9" s="774" t="s">
        <v>7</v>
      </c>
      <c r="D9" s="774" t="s">
        <v>183</v>
      </c>
      <c r="E9" s="774" t="s">
        <v>157</v>
      </c>
      <c r="F9" s="776" t="s">
        <v>10</v>
      </c>
      <c r="G9" s="777"/>
      <c r="H9" s="777"/>
      <c r="I9" s="777"/>
      <c r="J9" s="778"/>
      <c r="K9" s="768" t="s">
        <v>128</v>
      </c>
      <c r="L9" s="406" t="s">
        <v>11</v>
      </c>
      <c r="M9" s="337"/>
      <c r="N9" s="9"/>
    </row>
    <row r="10" spans="1:14" s="10" customFormat="1" ht="47.25" customHeight="1">
      <c r="A10" s="773"/>
      <c r="B10" s="775"/>
      <c r="C10" s="775"/>
      <c r="D10" s="775"/>
      <c r="E10" s="775"/>
      <c r="F10" s="407">
        <v>2011</v>
      </c>
      <c r="G10" s="407">
        <v>2012</v>
      </c>
      <c r="H10" s="407">
        <v>2013</v>
      </c>
      <c r="I10" s="407">
        <v>2014</v>
      </c>
      <c r="J10" s="407">
        <v>2015</v>
      </c>
      <c r="K10" s="769"/>
      <c r="L10" s="408"/>
      <c r="M10" s="337"/>
      <c r="N10" s="9"/>
    </row>
    <row r="11" spans="1:14" s="10" customFormat="1" ht="19.5" customHeight="1" thickBot="1">
      <c r="A11" s="409" t="s">
        <v>12</v>
      </c>
      <c r="B11" s="409"/>
      <c r="C11" s="409"/>
      <c r="D11" s="409"/>
      <c r="E11" s="409"/>
      <c r="F11" s="409"/>
      <c r="G11" s="409"/>
      <c r="H11" s="409"/>
      <c r="I11" s="409"/>
      <c r="J11" s="409"/>
      <c r="K11" s="410"/>
      <c r="L11" s="779" t="s">
        <v>15</v>
      </c>
      <c r="M11" s="338"/>
      <c r="N11" s="9"/>
    </row>
    <row r="12" spans="1:14" ht="13.5" customHeight="1">
      <c r="A12" s="781">
        <v>1</v>
      </c>
      <c r="B12" s="784" t="s">
        <v>109</v>
      </c>
      <c r="C12" s="411" t="s">
        <v>14</v>
      </c>
      <c r="D12" s="787">
        <f>D15+D18</f>
        <v>156474400</v>
      </c>
      <c r="E12" s="412">
        <f aca="true" t="shared" si="0" ref="E12:E65">SUM(F12:J12)</f>
        <v>0</v>
      </c>
      <c r="F12" s="413">
        <f>F15+F18</f>
        <v>0</v>
      </c>
      <c r="G12" s="413">
        <f>G15+G18</f>
        <v>0</v>
      </c>
      <c r="H12" s="413">
        <f>H15+H18</f>
        <v>0</v>
      </c>
      <c r="I12" s="413">
        <f>I15+I18</f>
        <v>0</v>
      </c>
      <c r="J12" s="414">
        <f>J15+J18</f>
        <v>0</v>
      </c>
      <c r="K12" s="415"/>
      <c r="L12" s="780"/>
      <c r="M12" s="339"/>
      <c r="N12" s="1"/>
    </row>
    <row r="13" spans="1:14" ht="13.5" customHeight="1">
      <c r="A13" s="782"/>
      <c r="B13" s="785"/>
      <c r="C13" s="416" t="s">
        <v>16</v>
      </c>
      <c r="D13" s="788"/>
      <c r="E13" s="417">
        <f t="shared" si="0"/>
        <v>0</v>
      </c>
      <c r="F13" s="418">
        <v>0</v>
      </c>
      <c r="G13" s="418">
        <f aca="true" t="shared" si="1" ref="G13:J14">G16+G19</f>
        <v>0</v>
      </c>
      <c r="H13" s="418">
        <f t="shared" si="1"/>
        <v>0</v>
      </c>
      <c r="I13" s="418">
        <f t="shared" si="1"/>
        <v>0</v>
      </c>
      <c r="J13" s="419">
        <f t="shared" si="1"/>
        <v>0</v>
      </c>
      <c r="K13" s="420"/>
      <c r="L13" s="780"/>
      <c r="M13" s="339"/>
      <c r="N13" s="1"/>
    </row>
    <row r="14" spans="1:14" ht="15" customHeight="1" thickBot="1">
      <c r="A14" s="783"/>
      <c r="B14" s="786"/>
      <c r="C14" s="421" t="s">
        <v>17</v>
      </c>
      <c r="D14" s="789"/>
      <c r="E14" s="422">
        <f>SUM(F14:J14)-F14</f>
        <v>7504000</v>
      </c>
      <c r="F14" s="418">
        <f>F17+F20</f>
        <v>3752000</v>
      </c>
      <c r="G14" s="418">
        <f>G17+G20</f>
        <v>3752000</v>
      </c>
      <c r="H14" s="423">
        <f t="shared" si="1"/>
        <v>3752000</v>
      </c>
      <c r="I14" s="423">
        <f t="shared" si="1"/>
        <v>0</v>
      </c>
      <c r="J14" s="424">
        <f t="shared" si="1"/>
        <v>0</v>
      </c>
      <c r="K14" s="425"/>
      <c r="L14" s="780"/>
      <c r="M14" s="339"/>
      <c r="N14" s="1"/>
    </row>
    <row r="15" spans="1:14" ht="13.5" customHeight="1">
      <c r="A15" s="790"/>
      <c r="B15" s="793" t="s">
        <v>18</v>
      </c>
      <c r="C15" s="426" t="s">
        <v>14</v>
      </c>
      <c r="D15" s="796">
        <v>3752000</v>
      </c>
      <c r="E15" s="427">
        <f t="shared" si="0"/>
        <v>0</v>
      </c>
      <c r="F15" s="428">
        <v>0</v>
      </c>
      <c r="G15" s="428">
        <v>0</v>
      </c>
      <c r="H15" s="428">
        <v>0</v>
      </c>
      <c r="I15" s="428">
        <v>0</v>
      </c>
      <c r="J15" s="429">
        <v>0</v>
      </c>
      <c r="K15" s="430"/>
      <c r="L15" s="780"/>
      <c r="M15" s="339"/>
      <c r="N15" s="1"/>
    </row>
    <row r="16" spans="1:14" ht="12.75">
      <c r="A16" s="791"/>
      <c r="B16" s="794"/>
      <c r="C16" s="431" t="s">
        <v>16</v>
      </c>
      <c r="D16" s="797"/>
      <c r="E16" s="432">
        <f t="shared" si="0"/>
        <v>0</v>
      </c>
      <c r="F16" s="433">
        <v>0</v>
      </c>
      <c r="G16" s="433">
        <v>0</v>
      </c>
      <c r="H16" s="433">
        <v>0</v>
      </c>
      <c r="I16" s="433">
        <v>0</v>
      </c>
      <c r="J16" s="434">
        <v>0</v>
      </c>
      <c r="K16" s="435"/>
      <c r="L16" s="780"/>
      <c r="M16" s="339"/>
      <c r="N16" s="1"/>
    </row>
    <row r="17" spans="1:14" ht="13.5" thickBot="1">
      <c r="A17" s="792"/>
      <c r="B17" s="795"/>
      <c r="C17" s="431" t="s">
        <v>17</v>
      </c>
      <c r="D17" s="798"/>
      <c r="E17" s="436">
        <f>SUM(F17:J17)-F17</f>
        <v>7504000</v>
      </c>
      <c r="F17" s="437">
        <v>3752000</v>
      </c>
      <c r="G17" s="437">
        <v>3752000</v>
      </c>
      <c r="H17" s="437">
        <v>3752000</v>
      </c>
      <c r="I17" s="437">
        <v>0</v>
      </c>
      <c r="J17" s="438">
        <v>0</v>
      </c>
      <c r="K17" s="439"/>
      <c r="L17" s="780"/>
      <c r="M17" s="339"/>
      <c r="N17" s="1"/>
    </row>
    <row r="18" spans="1:14" ht="13.5" customHeight="1">
      <c r="A18" s="790"/>
      <c r="B18" s="793" t="s">
        <v>19</v>
      </c>
      <c r="C18" s="426" t="s">
        <v>14</v>
      </c>
      <c r="D18" s="796">
        <v>152722400</v>
      </c>
      <c r="E18" s="427">
        <f t="shared" si="0"/>
        <v>0</v>
      </c>
      <c r="F18" s="427">
        <v>0</v>
      </c>
      <c r="G18" s="427">
        <v>0</v>
      </c>
      <c r="H18" s="427"/>
      <c r="I18" s="428">
        <v>0</v>
      </c>
      <c r="J18" s="440">
        <v>0</v>
      </c>
      <c r="K18" s="799" t="s">
        <v>129</v>
      </c>
      <c r="L18" s="780"/>
      <c r="M18" s="339"/>
      <c r="N18" s="1"/>
    </row>
    <row r="19" spans="1:14" ht="12.75">
      <c r="A19" s="791"/>
      <c r="B19" s="794"/>
      <c r="C19" s="431" t="s">
        <v>16</v>
      </c>
      <c r="D19" s="797"/>
      <c r="E19" s="432">
        <f t="shared" si="0"/>
        <v>0</v>
      </c>
      <c r="F19" s="433">
        <v>0</v>
      </c>
      <c r="G19" s="433">
        <v>0</v>
      </c>
      <c r="H19" s="433">
        <v>0</v>
      </c>
      <c r="I19" s="433">
        <v>0</v>
      </c>
      <c r="J19" s="434">
        <v>0</v>
      </c>
      <c r="K19" s="800"/>
      <c r="L19" s="780"/>
      <c r="M19" s="339"/>
      <c r="N19" s="1"/>
    </row>
    <row r="20" spans="1:15" ht="35.25" customHeight="1" thickBot="1">
      <c r="A20" s="792"/>
      <c r="B20" s="795"/>
      <c r="C20" s="431" t="s">
        <v>17</v>
      </c>
      <c r="D20" s="798"/>
      <c r="E20" s="436">
        <f t="shared" si="0"/>
        <v>0</v>
      </c>
      <c r="F20" s="436">
        <v>0</v>
      </c>
      <c r="G20" s="436">
        <v>0</v>
      </c>
      <c r="H20" s="436">
        <v>0</v>
      </c>
      <c r="I20" s="436">
        <v>0</v>
      </c>
      <c r="J20" s="438">
        <v>0</v>
      </c>
      <c r="K20" s="801"/>
      <c r="L20" s="780"/>
      <c r="M20" s="339"/>
      <c r="N20" s="1"/>
      <c r="O20" s="261"/>
    </row>
    <row r="21" spans="1:14" ht="13.5" customHeight="1">
      <c r="A21" s="781">
        <v>2</v>
      </c>
      <c r="B21" s="784" t="s">
        <v>110</v>
      </c>
      <c r="C21" s="411" t="s">
        <v>14</v>
      </c>
      <c r="D21" s="787">
        <f>D24+D27</f>
        <v>150629419.35</v>
      </c>
      <c r="E21" s="412">
        <f t="shared" si="0"/>
        <v>2629419.35</v>
      </c>
      <c r="F21" s="413">
        <f>F24+F27</f>
        <v>0</v>
      </c>
      <c r="G21" s="413">
        <f>G24+G27</f>
        <v>0</v>
      </c>
      <c r="H21" s="413">
        <f>H24+H27</f>
        <v>0</v>
      </c>
      <c r="I21" s="413">
        <f>I24+I27</f>
        <v>2629419.35</v>
      </c>
      <c r="J21" s="414">
        <f>J24+J27</f>
        <v>0</v>
      </c>
      <c r="K21" s="415"/>
      <c r="L21" s="780"/>
      <c r="M21" s="339"/>
      <c r="N21" s="1"/>
    </row>
    <row r="22" spans="1:14" ht="13.5" customHeight="1">
      <c r="A22" s="782"/>
      <c r="B22" s="785"/>
      <c r="C22" s="416" t="s">
        <v>16</v>
      </c>
      <c r="D22" s="788"/>
      <c r="E22" s="417">
        <f t="shared" si="0"/>
        <v>0</v>
      </c>
      <c r="F22" s="418">
        <v>0</v>
      </c>
      <c r="G22" s="418">
        <f aca="true" t="shared" si="2" ref="G22:J23">G25+G28</f>
        <v>0</v>
      </c>
      <c r="H22" s="418">
        <f t="shared" si="2"/>
        <v>0</v>
      </c>
      <c r="I22" s="418">
        <f t="shared" si="2"/>
        <v>0</v>
      </c>
      <c r="J22" s="419">
        <f t="shared" si="2"/>
        <v>0</v>
      </c>
      <c r="K22" s="420"/>
      <c r="L22" s="780"/>
      <c r="M22" s="339"/>
      <c r="N22" s="1"/>
    </row>
    <row r="23" spans="1:14" ht="15.75" customHeight="1" thickBot="1">
      <c r="A23" s="783"/>
      <c r="B23" s="786"/>
      <c r="C23" s="421" t="s">
        <v>17</v>
      </c>
      <c r="D23" s="789"/>
      <c r="E23" s="422">
        <f t="shared" si="0"/>
        <v>0</v>
      </c>
      <c r="F23" s="418">
        <f>F26+F29</f>
        <v>0</v>
      </c>
      <c r="G23" s="418">
        <f t="shared" si="2"/>
        <v>0</v>
      </c>
      <c r="H23" s="423">
        <f t="shared" si="2"/>
        <v>0</v>
      </c>
      <c r="I23" s="423">
        <f t="shared" si="2"/>
        <v>0</v>
      </c>
      <c r="J23" s="424">
        <f t="shared" si="2"/>
        <v>0</v>
      </c>
      <c r="K23" s="425"/>
      <c r="L23" s="780"/>
      <c r="M23" s="339"/>
      <c r="N23" s="1"/>
    </row>
    <row r="24" spans="1:14" ht="12.75">
      <c r="A24" s="790"/>
      <c r="B24" s="793" t="s">
        <v>91</v>
      </c>
      <c r="C24" s="426" t="s">
        <v>14</v>
      </c>
      <c r="D24" s="796">
        <f>E24+E25+E26</f>
        <v>2629419.35</v>
      </c>
      <c r="E24" s="427">
        <f t="shared" si="0"/>
        <v>2629419.35</v>
      </c>
      <c r="F24" s="427">
        <v>0</v>
      </c>
      <c r="G24" s="427">
        <v>0</v>
      </c>
      <c r="H24" s="427">
        <v>0</v>
      </c>
      <c r="I24" s="428">
        <v>2629419.35</v>
      </c>
      <c r="J24" s="440">
        <v>0</v>
      </c>
      <c r="K24" s="441"/>
      <c r="L24" s="780"/>
      <c r="M24" s="339"/>
      <c r="N24" s="1"/>
    </row>
    <row r="25" spans="1:14" ht="12.75">
      <c r="A25" s="791"/>
      <c r="B25" s="794"/>
      <c r="C25" s="431" t="s">
        <v>16</v>
      </c>
      <c r="D25" s="797"/>
      <c r="E25" s="432">
        <f t="shared" si="0"/>
        <v>0</v>
      </c>
      <c r="F25" s="433">
        <v>0</v>
      </c>
      <c r="G25" s="433">
        <v>0</v>
      </c>
      <c r="H25" s="433">
        <v>0</v>
      </c>
      <c r="I25" s="433">
        <v>0</v>
      </c>
      <c r="J25" s="434">
        <v>0</v>
      </c>
      <c r="K25" s="435"/>
      <c r="L25" s="780"/>
      <c r="M25" s="339"/>
      <c r="N25" s="1"/>
    </row>
    <row r="26" spans="1:14" ht="13.5" customHeight="1" thickBot="1">
      <c r="A26" s="792"/>
      <c r="B26" s="795"/>
      <c r="C26" s="431" t="s">
        <v>17</v>
      </c>
      <c r="D26" s="798"/>
      <c r="E26" s="436">
        <f t="shared" si="0"/>
        <v>0</v>
      </c>
      <c r="F26" s="436">
        <v>0</v>
      </c>
      <c r="G26" s="436">
        <v>0</v>
      </c>
      <c r="H26" s="436">
        <v>0</v>
      </c>
      <c r="I26" s="436">
        <v>0</v>
      </c>
      <c r="J26" s="438">
        <v>0</v>
      </c>
      <c r="K26" s="439"/>
      <c r="L26" s="780"/>
      <c r="M26" s="339"/>
      <c r="N26" s="1"/>
    </row>
    <row r="27" spans="1:14" ht="13.5" customHeight="1">
      <c r="A27" s="790"/>
      <c r="B27" s="802" t="s">
        <v>92</v>
      </c>
      <c r="C27" s="426" t="s">
        <v>14</v>
      </c>
      <c r="D27" s="796">
        <v>148000000</v>
      </c>
      <c r="E27" s="427">
        <f t="shared" si="0"/>
        <v>0</v>
      </c>
      <c r="F27" s="427">
        <v>0</v>
      </c>
      <c r="G27" s="427">
        <v>0</v>
      </c>
      <c r="H27" s="427">
        <v>0</v>
      </c>
      <c r="I27" s="428">
        <v>0</v>
      </c>
      <c r="J27" s="440">
        <v>0</v>
      </c>
      <c r="K27" s="799" t="s">
        <v>129</v>
      </c>
      <c r="L27" s="780"/>
      <c r="M27" s="339"/>
      <c r="N27" s="1"/>
    </row>
    <row r="28" spans="1:14" ht="12.75">
      <c r="A28" s="791"/>
      <c r="B28" s="803"/>
      <c r="C28" s="431" t="s">
        <v>16</v>
      </c>
      <c r="D28" s="797"/>
      <c r="E28" s="432">
        <f t="shared" si="0"/>
        <v>0</v>
      </c>
      <c r="F28" s="433">
        <v>0</v>
      </c>
      <c r="G28" s="433">
        <v>0</v>
      </c>
      <c r="H28" s="433">
        <v>0</v>
      </c>
      <c r="I28" s="442">
        <v>0</v>
      </c>
      <c r="J28" s="434">
        <v>0</v>
      </c>
      <c r="K28" s="800"/>
      <c r="L28" s="780"/>
      <c r="M28" s="339"/>
      <c r="N28" s="1"/>
    </row>
    <row r="29" spans="1:14" ht="32.25" customHeight="1" thickBot="1">
      <c r="A29" s="792"/>
      <c r="B29" s="804"/>
      <c r="C29" s="431" t="s">
        <v>17</v>
      </c>
      <c r="D29" s="798"/>
      <c r="E29" s="436">
        <f t="shared" si="0"/>
        <v>0</v>
      </c>
      <c r="F29" s="436">
        <v>0</v>
      </c>
      <c r="G29" s="436">
        <v>0</v>
      </c>
      <c r="H29" s="436">
        <v>0</v>
      </c>
      <c r="I29" s="436">
        <v>0</v>
      </c>
      <c r="J29" s="438">
        <v>0</v>
      </c>
      <c r="K29" s="801"/>
      <c r="L29" s="780"/>
      <c r="M29" s="339"/>
      <c r="N29" s="1"/>
    </row>
    <row r="30" spans="1:14" s="10" customFormat="1" ht="12.75" customHeight="1">
      <c r="A30" s="781">
        <v>3</v>
      </c>
      <c r="B30" s="784" t="s">
        <v>21</v>
      </c>
      <c r="C30" s="411" t="s">
        <v>14</v>
      </c>
      <c r="D30" s="787">
        <f>E30+E31+E32</f>
        <v>49768975.98</v>
      </c>
      <c r="E30" s="412">
        <f t="shared" si="0"/>
        <v>0</v>
      </c>
      <c r="F30" s="413">
        <v>0</v>
      </c>
      <c r="G30" s="413">
        <v>0</v>
      </c>
      <c r="H30" s="413">
        <v>0</v>
      </c>
      <c r="I30" s="413">
        <v>0</v>
      </c>
      <c r="J30" s="414">
        <v>0</v>
      </c>
      <c r="K30" s="415"/>
      <c r="L30" s="780"/>
      <c r="M30" s="339"/>
      <c r="N30" s="9"/>
    </row>
    <row r="31" spans="1:14" s="10" customFormat="1" ht="12.75" customHeight="1">
      <c r="A31" s="782"/>
      <c r="B31" s="785"/>
      <c r="C31" s="416" t="s">
        <v>16</v>
      </c>
      <c r="D31" s="788"/>
      <c r="E31" s="443">
        <f t="shared" si="0"/>
        <v>0</v>
      </c>
      <c r="F31" s="418">
        <v>0</v>
      </c>
      <c r="G31" s="418">
        <v>0</v>
      </c>
      <c r="H31" s="418">
        <v>0</v>
      </c>
      <c r="I31" s="418">
        <v>0</v>
      </c>
      <c r="J31" s="419">
        <v>0</v>
      </c>
      <c r="K31" s="420"/>
      <c r="L31" s="780"/>
      <c r="M31" s="339"/>
      <c r="N31" s="9"/>
    </row>
    <row r="32" spans="1:14" s="10" customFormat="1" ht="13.5" customHeight="1" thickBot="1">
      <c r="A32" s="783"/>
      <c r="B32" s="786"/>
      <c r="C32" s="421" t="s">
        <v>17</v>
      </c>
      <c r="D32" s="789"/>
      <c r="E32" s="422">
        <f t="shared" si="0"/>
        <v>49768975.98</v>
      </c>
      <c r="F32" s="423">
        <v>0</v>
      </c>
      <c r="G32" s="423">
        <v>49768975.98</v>
      </c>
      <c r="H32" s="423">
        <v>0</v>
      </c>
      <c r="I32" s="423">
        <v>0</v>
      </c>
      <c r="J32" s="424">
        <v>0</v>
      </c>
      <c r="K32" s="425"/>
      <c r="L32" s="780"/>
      <c r="M32" s="339"/>
      <c r="N32" s="9"/>
    </row>
    <row r="33" spans="1:14" s="10" customFormat="1" ht="13.5" customHeight="1">
      <c r="A33" s="781">
        <v>4</v>
      </c>
      <c r="B33" s="784" t="s">
        <v>84</v>
      </c>
      <c r="C33" s="411" t="s">
        <v>14</v>
      </c>
      <c r="D33" s="787">
        <f>G33</f>
        <v>1756768.66</v>
      </c>
      <c r="E33" s="412">
        <f t="shared" si="0"/>
        <v>1756768.66</v>
      </c>
      <c r="F33" s="413">
        <v>0</v>
      </c>
      <c r="G33" s="418">
        <v>1756768.66</v>
      </c>
      <c r="H33" s="413">
        <v>0</v>
      </c>
      <c r="I33" s="413">
        <v>0</v>
      </c>
      <c r="J33" s="414">
        <v>0</v>
      </c>
      <c r="K33" s="415"/>
      <c r="L33" s="780"/>
      <c r="M33" s="339"/>
      <c r="N33" s="9"/>
    </row>
    <row r="34" spans="1:14" s="10" customFormat="1" ht="12.75">
      <c r="A34" s="782"/>
      <c r="B34" s="785"/>
      <c r="C34" s="416" t="s">
        <v>16</v>
      </c>
      <c r="D34" s="788"/>
      <c r="E34" s="417">
        <f t="shared" si="0"/>
        <v>0</v>
      </c>
      <c r="F34" s="418">
        <f>SUM(G34:L34)</f>
        <v>0</v>
      </c>
      <c r="G34" s="418">
        <v>0</v>
      </c>
      <c r="H34" s="418">
        <v>0</v>
      </c>
      <c r="I34" s="418">
        <v>0</v>
      </c>
      <c r="J34" s="419">
        <v>0</v>
      </c>
      <c r="K34" s="420"/>
      <c r="L34" s="780"/>
      <c r="M34" s="339"/>
      <c r="N34" s="9"/>
    </row>
    <row r="35" spans="1:14" s="10" customFormat="1" ht="13.5" thickBot="1">
      <c r="A35" s="783"/>
      <c r="B35" s="786"/>
      <c r="C35" s="421" t="s">
        <v>17</v>
      </c>
      <c r="D35" s="789"/>
      <c r="E35" s="422">
        <f t="shared" si="0"/>
        <v>0</v>
      </c>
      <c r="F35" s="423">
        <v>0</v>
      </c>
      <c r="G35" s="423">
        <v>0</v>
      </c>
      <c r="H35" s="423">
        <v>0</v>
      </c>
      <c r="I35" s="423">
        <v>0</v>
      </c>
      <c r="J35" s="424">
        <v>0</v>
      </c>
      <c r="K35" s="425"/>
      <c r="L35" s="780"/>
      <c r="M35" s="339"/>
      <c r="N35" s="264"/>
    </row>
    <row r="36" spans="1:14" s="10" customFormat="1" ht="13.5" customHeight="1">
      <c r="A36" s="781">
        <v>5</v>
      </c>
      <c r="B36" s="784" t="s">
        <v>22</v>
      </c>
      <c r="C36" s="411" t="s">
        <v>14</v>
      </c>
      <c r="D36" s="787">
        <f>E36+E37+E38</f>
        <v>855064.1799999999</v>
      </c>
      <c r="E36" s="412">
        <f t="shared" si="0"/>
        <v>301419.48000000004</v>
      </c>
      <c r="F36" s="413">
        <f aca="true" t="shared" si="3" ref="F36:J38">F39+F42</f>
        <v>0</v>
      </c>
      <c r="G36" s="413">
        <f>G39+G42+G45</f>
        <v>0</v>
      </c>
      <c r="H36" s="413">
        <f>H39+H42+H45</f>
        <v>12393.46</v>
      </c>
      <c r="I36" s="413">
        <f>I39+I42+I45</f>
        <v>289026.02</v>
      </c>
      <c r="J36" s="414">
        <f>J39+J42+J45</f>
        <v>0</v>
      </c>
      <c r="K36" s="415"/>
      <c r="L36" s="780"/>
      <c r="M36" s="339"/>
      <c r="N36" s="9"/>
    </row>
    <row r="37" spans="1:14" s="10" customFormat="1" ht="12.75">
      <c r="A37" s="782"/>
      <c r="B37" s="785"/>
      <c r="C37" s="416" t="s">
        <v>16</v>
      </c>
      <c r="D37" s="788"/>
      <c r="E37" s="417">
        <f t="shared" si="0"/>
        <v>553644.7</v>
      </c>
      <c r="F37" s="418">
        <f t="shared" si="3"/>
        <v>0</v>
      </c>
      <c r="G37" s="418">
        <f t="shared" si="3"/>
        <v>318168.96</v>
      </c>
      <c r="H37" s="418">
        <f>H40+H43+H46</f>
        <v>235475.74</v>
      </c>
      <c r="I37" s="418">
        <f t="shared" si="3"/>
        <v>0</v>
      </c>
      <c r="J37" s="419">
        <f t="shared" si="3"/>
        <v>0</v>
      </c>
      <c r="K37" s="420"/>
      <c r="L37" s="780"/>
      <c r="M37" s="339"/>
      <c r="N37" s="9"/>
    </row>
    <row r="38" spans="1:15" s="10" customFormat="1" ht="13.5" thickBot="1">
      <c r="A38" s="783"/>
      <c r="B38" s="786"/>
      <c r="C38" s="421" t="s">
        <v>17</v>
      </c>
      <c r="D38" s="789"/>
      <c r="E38" s="422">
        <f t="shared" si="0"/>
        <v>0</v>
      </c>
      <c r="F38" s="423">
        <f t="shared" si="3"/>
        <v>0</v>
      </c>
      <c r="G38" s="423">
        <f t="shared" si="3"/>
        <v>0</v>
      </c>
      <c r="H38" s="423">
        <v>0</v>
      </c>
      <c r="I38" s="423">
        <f t="shared" si="3"/>
        <v>0</v>
      </c>
      <c r="J38" s="424">
        <f t="shared" si="3"/>
        <v>0</v>
      </c>
      <c r="K38" s="425"/>
      <c r="L38" s="780"/>
      <c r="M38" s="339"/>
      <c r="N38" s="9"/>
      <c r="O38" s="278"/>
    </row>
    <row r="39" spans="1:15" s="10" customFormat="1" ht="13.5" customHeight="1">
      <c r="A39" s="805"/>
      <c r="B39" s="808" t="s">
        <v>113</v>
      </c>
      <c r="C39" s="444" t="s">
        <v>14</v>
      </c>
      <c r="D39" s="796">
        <f>H39+H40</f>
        <v>0</v>
      </c>
      <c r="E39" s="445">
        <f t="shared" si="0"/>
        <v>289026.02</v>
      </c>
      <c r="F39" s="446">
        <v>0</v>
      </c>
      <c r="G39" s="446">
        <v>0</v>
      </c>
      <c r="H39" s="446">
        <v>0</v>
      </c>
      <c r="I39" s="446">
        <v>289026.02</v>
      </c>
      <c r="J39" s="447">
        <v>0</v>
      </c>
      <c r="K39" s="811"/>
      <c r="L39" s="780"/>
      <c r="M39" s="339"/>
      <c r="N39" s="264"/>
      <c r="O39" s="278"/>
    </row>
    <row r="40" spans="1:14" s="10" customFormat="1" ht="12.75">
      <c r="A40" s="806"/>
      <c r="B40" s="809"/>
      <c r="C40" s="448" t="s">
        <v>16</v>
      </c>
      <c r="D40" s="797"/>
      <c r="E40" s="449">
        <f t="shared" si="0"/>
        <v>0</v>
      </c>
      <c r="F40" s="450">
        <v>0</v>
      </c>
      <c r="G40" s="450">
        <v>0</v>
      </c>
      <c r="H40" s="450">
        <v>0</v>
      </c>
      <c r="I40" s="450">
        <v>0</v>
      </c>
      <c r="J40" s="451">
        <v>0</v>
      </c>
      <c r="K40" s="812"/>
      <c r="L40" s="780"/>
      <c r="M40" s="339"/>
      <c r="N40" s="9"/>
    </row>
    <row r="41" spans="1:15" s="10" customFormat="1" ht="13.5" thickBot="1">
      <c r="A41" s="807"/>
      <c r="B41" s="810"/>
      <c r="C41" s="452" t="s">
        <v>17</v>
      </c>
      <c r="D41" s="798"/>
      <c r="E41" s="453">
        <f t="shared" si="0"/>
        <v>0</v>
      </c>
      <c r="F41" s="454">
        <v>0</v>
      </c>
      <c r="G41" s="454">
        <v>0</v>
      </c>
      <c r="H41" s="454">
        <v>0</v>
      </c>
      <c r="I41" s="454">
        <v>0</v>
      </c>
      <c r="J41" s="455">
        <v>0</v>
      </c>
      <c r="K41" s="813"/>
      <c r="L41" s="780"/>
      <c r="M41" s="339"/>
      <c r="N41" s="327"/>
      <c r="O41" s="328"/>
    </row>
    <row r="42" spans="1:15" s="10" customFormat="1" ht="13.5" customHeight="1">
      <c r="A42" s="805"/>
      <c r="B42" s="808" t="s">
        <v>112</v>
      </c>
      <c r="C42" s="444" t="s">
        <v>14</v>
      </c>
      <c r="D42" s="796">
        <f>E42+E43+E44</f>
        <v>318168.96</v>
      </c>
      <c r="E42" s="445">
        <f t="shared" si="0"/>
        <v>0</v>
      </c>
      <c r="F42" s="446">
        <v>0</v>
      </c>
      <c r="G42" s="446">
        <v>0</v>
      </c>
      <c r="H42" s="446">
        <v>0</v>
      </c>
      <c r="I42" s="446">
        <v>0</v>
      </c>
      <c r="J42" s="447">
        <v>0</v>
      </c>
      <c r="K42" s="456"/>
      <c r="L42" s="780"/>
      <c r="M42" s="339"/>
      <c r="N42" s="327"/>
      <c r="O42" s="329"/>
    </row>
    <row r="43" spans="1:15" s="10" customFormat="1" ht="12.75">
      <c r="A43" s="806"/>
      <c r="B43" s="809"/>
      <c r="C43" s="448" t="s">
        <v>16</v>
      </c>
      <c r="D43" s="797"/>
      <c r="E43" s="449">
        <f t="shared" si="0"/>
        <v>318168.96</v>
      </c>
      <c r="F43" s="450">
        <v>0</v>
      </c>
      <c r="G43" s="450">
        <f>379349.96-G88</f>
        <v>318168.96</v>
      </c>
      <c r="H43" s="450">
        <v>0</v>
      </c>
      <c r="I43" s="450">
        <v>0</v>
      </c>
      <c r="J43" s="451">
        <v>0</v>
      </c>
      <c r="K43" s="457"/>
      <c r="L43" s="780"/>
      <c r="M43" s="339"/>
      <c r="N43" s="330"/>
      <c r="O43" s="329"/>
    </row>
    <row r="44" spans="1:15" s="10" customFormat="1" ht="13.5" thickBot="1">
      <c r="A44" s="807"/>
      <c r="B44" s="810"/>
      <c r="C44" s="452" t="s">
        <v>17</v>
      </c>
      <c r="D44" s="798"/>
      <c r="E44" s="453">
        <f t="shared" si="0"/>
        <v>0</v>
      </c>
      <c r="F44" s="454">
        <v>0</v>
      </c>
      <c r="G44" s="454">
        <v>0</v>
      </c>
      <c r="H44" s="454">
        <v>0</v>
      </c>
      <c r="I44" s="454">
        <v>0</v>
      </c>
      <c r="J44" s="455">
        <v>0</v>
      </c>
      <c r="K44" s="458"/>
      <c r="L44" s="780"/>
      <c r="M44" s="339"/>
      <c r="N44" s="327"/>
      <c r="O44" s="329"/>
    </row>
    <row r="45" spans="1:15" s="10" customFormat="1" ht="12.75">
      <c r="A45" s="805"/>
      <c r="B45" s="808" t="s">
        <v>116</v>
      </c>
      <c r="C45" s="444" t="s">
        <v>14</v>
      </c>
      <c r="D45" s="796">
        <f>H45+H46</f>
        <v>247869.19999999998</v>
      </c>
      <c r="E45" s="445">
        <f>SUM(F45:J45)</f>
        <v>12393.46</v>
      </c>
      <c r="F45" s="446">
        <v>0</v>
      </c>
      <c r="G45" s="446">
        <v>0</v>
      </c>
      <c r="H45" s="446">
        <f>ROUND((242630+5239.2)*5/100,2)</f>
        <v>12393.46</v>
      </c>
      <c r="I45" s="446">
        <v>0</v>
      </c>
      <c r="J45" s="447">
        <v>0</v>
      </c>
      <c r="K45" s="456"/>
      <c r="L45" s="780"/>
      <c r="M45" s="381"/>
      <c r="N45" s="330"/>
      <c r="O45" s="329"/>
    </row>
    <row r="46" spans="1:15" s="10" customFormat="1" ht="12.75">
      <c r="A46" s="806"/>
      <c r="B46" s="809"/>
      <c r="C46" s="448" t="s">
        <v>16</v>
      </c>
      <c r="D46" s="797"/>
      <c r="E46" s="449">
        <f>SUM(F46:J46)</f>
        <v>235475.74</v>
      </c>
      <c r="F46" s="450">
        <v>0</v>
      </c>
      <c r="G46" s="450">
        <v>0</v>
      </c>
      <c r="H46" s="450">
        <f>ROUND((242630+5239.2)*95/100,2)</f>
        <v>235475.74</v>
      </c>
      <c r="I46" s="450">
        <v>0</v>
      </c>
      <c r="J46" s="451">
        <v>0</v>
      </c>
      <c r="K46" s="457"/>
      <c r="L46" s="780"/>
      <c r="M46" s="381"/>
      <c r="N46" s="330"/>
      <c r="O46" s="329"/>
    </row>
    <row r="47" spans="1:15" s="10" customFormat="1" ht="12.75" customHeight="1" thickBot="1">
      <c r="A47" s="807"/>
      <c r="B47" s="810"/>
      <c r="C47" s="452" t="s">
        <v>17</v>
      </c>
      <c r="D47" s="798"/>
      <c r="E47" s="453">
        <f>SUM(F47:J47)</f>
        <v>0</v>
      </c>
      <c r="F47" s="454">
        <v>0</v>
      </c>
      <c r="G47" s="454">
        <v>0</v>
      </c>
      <c r="H47" s="454">
        <v>0</v>
      </c>
      <c r="I47" s="454">
        <v>0</v>
      </c>
      <c r="J47" s="455">
        <v>0</v>
      </c>
      <c r="K47" s="458"/>
      <c r="L47" s="780"/>
      <c r="M47" s="380"/>
      <c r="N47" s="327"/>
      <c r="O47" s="329"/>
    </row>
    <row r="48" spans="1:15" s="10" customFormat="1" ht="12.75" customHeight="1" hidden="1">
      <c r="A48" s="781">
        <v>6</v>
      </c>
      <c r="B48" s="784" t="s">
        <v>86</v>
      </c>
      <c r="C48" s="411" t="s">
        <v>14</v>
      </c>
      <c r="D48" s="787">
        <f>E48+E49+E50</f>
        <v>0</v>
      </c>
      <c r="E48" s="412">
        <f t="shared" si="0"/>
        <v>0</v>
      </c>
      <c r="F48" s="412">
        <v>0</v>
      </c>
      <c r="G48" s="413">
        <v>0</v>
      </c>
      <c r="H48" s="413">
        <v>0</v>
      </c>
      <c r="I48" s="413">
        <v>0</v>
      </c>
      <c r="J48" s="414">
        <v>0</v>
      </c>
      <c r="K48" s="415"/>
      <c r="L48" s="780"/>
      <c r="M48" s="380"/>
      <c r="N48" s="327"/>
      <c r="O48" s="329"/>
    </row>
    <row r="49" spans="1:15" s="10" customFormat="1" ht="12" customHeight="1" hidden="1">
      <c r="A49" s="782"/>
      <c r="B49" s="785"/>
      <c r="C49" s="416" t="s">
        <v>16</v>
      </c>
      <c r="D49" s="788"/>
      <c r="E49" s="417">
        <f t="shared" si="0"/>
        <v>0</v>
      </c>
      <c r="F49" s="417">
        <v>0</v>
      </c>
      <c r="G49" s="418">
        <v>0</v>
      </c>
      <c r="H49" s="418">
        <v>0</v>
      </c>
      <c r="I49" s="418">
        <v>0</v>
      </c>
      <c r="J49" s="419">
        <v>0</v>
      </c>
      <c r="K49" s="420"/>
      <c r="L49" s="780"/>
      <c r="M49" s="380"/>
      <c r="N49" s="327"/>
      <c r="O49" s="329"/>
    </row>
    <row r="50" spans="1:15" s="10" customFormat="1" ht="12.75" customHeight="1" hidden="1">
      <c r="A50" s="783"/>
      <c r="B50" s="786"/>
      <c r="C50" s="421" t="s">
        <v>17</v>
      </c>
      <c r="D50" s="789"/>
      <c r="E50" s="422">
        <f t="shared" si="0"/>
        <v>0</v>
      </c>
      <c r="F50" s="459">
        <v>0</v>
      </c>
      <c r="G50" s="459"/>
      <c r="H50" s="423">
        <v>0</v>
      </c>
      <c r="I50" s="423">
        <v>0</v>
      </c>
      <c r="J50" s="424">
        <v>0</v>
      </c>
      <c r="K50" s="425"/>
      <c r="L50" s="780"/>
      <c r="M50" s="380"/>
      <c r="N50" s="327"/>
      <c r="O50" s="329"/>
    </row>
    <row r="51" spans="1:15" ht="12.75" customHeight="1">
      <c r="A51" s="781" t="s">
        <v>158</v>
      </c>
      <c r="B51" s="784" t="s">
        <v>82</v>
      </c>
      <c r="C51" s="411" t="s">
        <v>25</v>
      </c>
      <c r="D51" s="460"/>
      <c r="E51" s="461">
        <f t="shared" si="0"/>
        <v>2342501.01</v>
      </c>
      <c r="F51" s="462">
        <f>2342501.01</f>
        <v>2342501.01</v>
      </c>
      <c r="G51" s="462">
        <v>0</v>
      </c>
      <c r="H51" s="463">
        <v>0</v>
      </c>
      <c r="I51" s="413">
        <v>0</v>
      </c>
      <c r="J51" s="414">
        <v>0</v>
      </c>
      <c r="K51" s="415"/>
      <c r="L51" s="780"/>
      <c r="M51" s="380"/>
      <c r="N51" s="327"/>
      <c r="O51" s="391"/>
    </row>
    <row r="52" spans="1:15" ht="15.75" customHeight="1">
      <c r="A52" s="782"/>
      <c r="B52" s="785"/>
      <c r="C52" s="416" t="s">
        <v>16</v>
      </c>
      <c r="D52" s="464">
        <f>E51+E52+E53</f>
        <v>2342501.01</v>
      </c>
      <c r="E52" s="465">
        <f t="shared" si="0"/>
        <v>0</v>
      </c>
      <c r="F52" s="466">
        <v>0</v>
      </c>
      <c r="G52" s="467">
        <v>0</v>
      </c>
      <c r="H52" s="468">
        <v>0</v>
      </c>
      <c r="I52" s="418">
        <v>0</v>
      </c>
      <c r="J52" s="419">
        <v>0</v>
      </c>
      <c r="K52" s="420"/>
      <c r="L52" s="780"/>
      <c r="M52" s="339"/>
      <c r="N52" s="44"/>
      <c r="O52" s="1"/>
    </row>
    <row r="53" spans="1:15" ht="13.5" thickBot="1">
      <c r="A53" s="783"/>
      <c r="B53" s="786"/>
      <c r="C53" s="469" t="s">
        <v>17</v>
      </c>
      <c r="D53" s="470"/>
      <c r="E53" s="471">
        <f t="shared" si="0"/>
        <v>0</v>
      </c>
      <c r="F53" s="472">
        <v>0</v>
      </c>
      <c r="G53" s="473">
        <v>0</v>
      </c>
      <c r="H53" s="474">
        <v>0</v>
      </c>
      <c r="I53" s="475">
        <v>0</v>
      </c>
      <c r="J53" s="476">
        <v>0</v>
      </c>
      <c r="K53" s="425"/>
      <c r="L53" s="780"/>
      <c r="M53" s="339"/>
      <c r="N53" s="44"/>
      <c r="O53" s="1"/>
    </row>
    <row r="54" spans="1:14" s="56" customFormat="1" ht="13.5" customHeight="1">
      <c r="A54" s="781" t="s">
        <v>159</v>
      </c>
      <c r="B54" s="814" t="s">
        <v>83</v>
      </c>
      <c r="C54" s="477" t="s">
        <v>25</v>
      </c>
      <c r="D54" s="817">
        <f>E54+E55+E56</f>
        <v>4311271.74</v>
      </c>
      <c r="E54" s="478">
        <f t="shared" si="0"/>
        <v>4311271.74</v>
      </c>
      <c r="F54" s="462">
        <f>4141866.08+169405.66</f>
        <v>4311271.74</v>
      </c>
      <c r="G54" s="479">
        <v>0</v>
      </c>
      <c r="H54" s="479">
        <v>0</v>
      </c>
      <c r="I54" s="479">
        <v>0</v>
      </c>
      <c r="J54" s="480">
        <v>0</v>
      </c>
      <c r="K54" s="481"/>
      <c r="L54" s="780"/>
      <c r="M54" s="339"/>
      <c r="N54" s="55"/>
    </row>
    <row r="55" spans="1:14" s="56" customFormat="1" ht="12.75">
      <c r="A55" s="782"/>
      <c r="B55" s="815"/>
      <c r="C55" s="482" t="s">
        <v>16</v>
      </c>
      <c r="D55" s="818"/>
      <c r="E55" s="465">
        <f t="shared" si="0"/>
        <v>0</v>
      </c>
      <c r="F55" s="466">
        <v>0</v>
      </c>
      <c r="G55" s="417">
        <v>0</v>
      </c>
      <c r="H55" s="417">
        <v>0</v>
      </c>
      <c r="I55" s="417">
        <v>0</v>
      </c>
      <c r="J55" s="483">
        <v>0</v>
      </c>
      <c r="K55" s="484"/>
      <c r="L55" s="780"/>
      <c r="M55" s="339"/>
      <c r="N55" s="55"/>
    </row>
    <row r="56" spans="1:14" s="56" customFormat="1" ht="13.5" thickBot="1">
      <c r="A56" s="783"/>
      <c r="B56" s="816"/>
      <c r="C56" s="485" t="s">
        <v>17</v>
      </c>
      <c r="D56" s="819"/>
      <c r="E56" s="486">
        <f t="shared" si="0"/>
        <v>0</v>
      </c>
      <c r="F56" s="487">
        <v>0</v>
      </c>
      <c r="G56" s="488">
        <v>0</v>
      </c>
      <c r="H56" s="488">
        <v>0</v>
      </c>
      <c r="I56" s="488">
        <v>0</v>
      </c>
      <c r="J56" s="489">
        <v>0</v>
      </c>
      <c r="K56" s="490"/>
      <c r="L56" s="780"/>
      <c r="M56" s="339"/>
      <c r="N56" s="55"/>
    </row>
    <row r="57" spans="1:14" s="56" customFormat="1" ht="13.5" customHeight="1">
      <c r="A57" s="781" t="s">
        <v>160</v>
      </c>
      <c r="B57" s="814" t="s">
        <v>80</v>
      </c>
      <c r="C57" s="491" t="s">
        <v>14</v>
      </c>
      <c r="D57" s="820">
        <f>E57+E58+E59</f>
        <v>1979233.93</v>
      </c>
      <c r="E57" s="478">
        <f t="shared" si="0"/>
        <v>1979233.93</v>
      </c>
      <c r="F57" s="492">
        <v>0</v>
      </c>
      <c r="G57" s="479">
        <v>1979233.93</v>
      </c>
      <c r="H57" s="493">
        <v>0</v>
      </c>
      <c r="I57" s="493">
        <v>0</v>
      </c>
      <c r="J57" s="462">
        <v>0</v>
      </c>
      <c r="K57" s="420"/>
      <c r="L57" s="780"/>
      <c r="M57" s="339"/>
      <c r="N57" s="265"/>
    </row>
    <row r="58" spans="1:14" s="56" customFormat="1" ht="12.75">
      <c r="A58" s="782"/>
      <c r="B58" s="815"/>
      <c r="C58" s="494" t="s">
        <v>16</v>
      </c>
      <c r="D58" s="788"/>
      <c r="E58" s="465">
        <f t="shared" si="0"/>
        <v>0</v>
      </c>
      <c r="F58" s="466">
        <v>0</v>
      </c>
      <c r="G58" s="417">
        <v>0</v>
      </c>
      <c r="H58" s="418">
        <v>0</v>
      </c>
      <c r="I58" s="418">
        <v>0</v>
      </c>
      <c r="J58" s="467">
        <v>0</v>
      </c>
      <c r="K58" s="420"/>
      <c r="L58" s="780"/>
      <c r="M58" s="339"/>
      <c r="N58" s="265"/>
    </row>
    <row r="59" spans="1:14" s="56" customFormat="1" ht="13.5" thickBot="1">
      <c r="A59" s="783"/>
      <c r="B59" s="816"/>
      <c r="C59" s="495" t="s">
        <v>17</v>
      </c>
      <c r="D59" s="821"/>
      <c r="E59" s="486">
        <f t="shared" si="0"/>
        <v>0</v>
      </c>
      <c r="F59" s="487">
        <v>0</v>
      </c>
      <c r="G59" s="488">
        <v>0</v>
      </c>
      <c r="H59" s="496">
        <v>0</v>
      </c>
      <c r="I59" s="496">
        <v>0</v>
      </c>
      <c r="J59" s="473">
        <v>0</v>
      </c>
      <c r="K59" s="425"/>
      <c r="L59" s="780"/>
      <c r="M59" s="339"/>
      <c r="N59" s="55"/>
    </row>
    <row r="60" spans="1:14" s="56" customFormat="1" ht="13.5" customHeight="1">
      <c r="A60" s="781" t="s">
        <v>161</v>
      </c>
      <c r="B60" s="784" t="s">
        <v>195</v>
      </c>
      <c r="C60" s="497" t="s">
        <v>14</v>
      </c>
      <c r="D60" s="820">
        <f>E60+E61+E62</f>
        <v>988741.18</v>
      </c>
      <c r="E60" s="498">
        <f t="shared" si="0"/>
        <v>988741.18</v>
      </c>
      <c r="F60" s="492">
        <v>0</v>
      </c>
      <c r="G60" s="479">
        <v>988741.18</v>
      </c>
      <c r="H60" s="493">
        <v>0</v>
      </c>
      <c r="I60" s="493">
        <v>0</v>
      </c>
      <c r="J60" s="462">
        <v>0</v>
      </c>
      <c r="K60" s="415"/>
      <c r="L60" s="780"/>
      <c r="M60" s="339"/>
      <c r="N60" s="55"/>
    </row>
    <row r="61" spans="1:14" s="56" customFormat="1" ht="12.75">
      <c r="A61" s="782"/>
      <c r="B61" s="785"/>
      <c r="C61" s="416" t="s">
        <v>16</v>
      </c>
      <c r="D61" s="788"/>
      <c r="E61" s="465">
        <f t="shared" si="0"/>
        <v>0</v>
      </c>
      <c r="F61" s="466">
        <v>0</v>
      </c>
      <c r="G61" s="417">
        <v>0</v>
      </c>
      <c r="H61" s="418">
        <v>0</v>
      </c>
      <c r="I61" s="418">
        <v>0</v>
      </c>
      <c r="J61" s="467">
        <v>0</v>
      </c>
      <c r="K61" s="420"/>
      <c r="L61" s="780"/>
      <c r="M61" s="339"/>
      <c r="N61" s="103"/>
    </row>
    <row r="62" spans="1:14" s="56" customFormat="1" ht="13.5" thickBot="1">
      <c r="A62" s="783"/>
      <c r="B62" s="786"/>
      <c r="C62" s="421" t="s">
        <v>17</v>
      </c>
      <c r="D62" s="789"/>
      <c r="E62" s="499">
        <f t="shared" si="0"/>
        <v>0</v>
      </c>
      <c r="F62" s="487">
        <v>0</v>
      </c>
      <c r="G62" s="488">
        <v>0</v>
      </c>
      <c r="H62" s="496">
        <v>0</v>
      </c>
      <c r="I62" s="496">
        <v>0</v>
      </c>
      <c r="J62" s="473">
        <v>0</v>
      </c>
      <c r="K62" s="425"/>
      <c r="L62" s="780"/>
      <c r="M62" s="339"/>
      <c r="N62" s="103"/>
    </row>
    <row r="63" spans="1:14" s="56" customFormat="1" ht="13.5" customHeight="1">
      <c r="A63" s="781" t="s">
        <v>162</v>
      </c>
      <c r="B63" s="784" t="s">
        <v>88</v>
      </c>
      <c r="C63" s="411" t="s">
        <v>14</v>
      </c>
      <c r="D63" s="787">
        <f>E63+E64+E65</f>
        <v>610513.12</v>
      </c>
      <c r="E63" s="465">
        <f t="shared" si="0"/>
        <v>610513.12</v>
      </c>
      <c r="F63" s="492">
        <v>0</v>
      </c>
      <c r="G63" s="479">
        <v>610513.12</v>
      </c>
      <c r="H63" s="493">
        <v>0</v>
      </c>
      <c r="I63" s="493">
        <v>0</v>
      </c>
      <c r="J63" s="462">
        <v>0</v>
      </c>
      <c r="K63" s="415"/>
      <c r="L63" s="780"/>
      <c r="M63" s="339"/>
      <c r="N63" s="55"/>
    </row>
    <row r="64" spans="1:14" s="56" customFormat="1" ht="12.75">
      <c r="A64" s="782"/>
      <c r="B64" s="785"/>
      <c r="C64" s="416" t="s">
        <v>16</v>
      </c>
      <c r="D64" s="788"/>
      <c r="E64" s="465">
        <f t="shared" si="0"/>
        <v>0</v>
      </c>
      <c r="F64" s="466">
        <v>0</v>
      </c>
      <c r="G64" s="417">
        <v>0</v>
      </c>
      <c r="H64" s="418">
        <v>0</v>
      </c>
      <c r="I64" s="418">
        <v>0</v>
      </c>
      <c r="J64" s="467">
        <v>0</v>
      </c>
      <c r="K64" s="420"/>
      <c r="L64" s="780"/>
      <c r="M64" s="339"/>
      <c r="N64" s="55"/>
    </row>
    <row r="65" spans="1:14" s="56" customFormat="1" ht="13.5" thickBot="1">
      <c r="A65" s="783"/>
      <c r="B65" s="786"/>
      <c r="C65" s="421" t="s">
        <v>17</v>
      </c>
      <c r="D65" s="789"/>
      <c r="E65" s="499">
        <f t="shared" si="0"/>
        <v>0</v>
      </c>
      <c r="F65" s="487">
        <v>0</v>
      </c>
      <c r="G65" s="488">
        <v>0</v>
      </c>
      <c r="H65" s="496">
        <v>0</v>
      </c>
      <c r="I65" s="496">
        <v>0</v>
      </c>
      <c r="J65" s="473">
        <v>0</v>
      </c>
      <c r="K65" s="425"/>
      <c r="L65" s="780"/>
      <c r="M65" s="339"/>
      <c r="N65" s="55"/>
    </row>
    <row r="66" spans="1:14" ht="12.75" customHeight="1">
      <c r="A66" s="781" t="s">
        <v>163</v>
      </c>
      <c r="B66" s="784" t="s">
        <v>89</v>
      </c>
      <c r="C66" s="411" t="s">
        <v>14</v>
      </c>
      <c r="D66" s="787">
        <f>F66+G66</f>
        <v>13997774.51</v>
      </c>
      <c r="E66" s="465"/>
      <c r="F66" s="492">
        <f>8496339.34+417000</f>
        <v>8913339.34</v>
      </c>
      <c r="G66" s="479">
        <f>4667435.17+417000</f>
        <v>5084435.17</v>
      </c>
      <c r="H66" s="493">
        <v>0</v>
      </c>
      <c r="I66" s="493">
        <v>0</v>
      </c>
      <c r="J66" s="462">
        <v>0</v>
      </c>
      <c r="K66" s="415"/>
      <c r="L66" s="780"/>
      <c r="M66" s="339"/>
      <c r="N66" s="98"/>
    </row>
    <row r="67" spans="1:14" ht="12.75">
      <c r="A67" s="782"/>
      <c r="B67" s="785"/>
      <c r="C67" s="416" t="s">
        <v>16</v>
      </c>
      <c r="D67" s="788"/>
      <c r="E67" s="465">
        <f>SUM(F67:I67)</f>
        <v>0</v>
      </c>
      <c r="F67" s="466">
        <v>0</v>
      </c>
      <c r="G67" s="417">
        <v>0</v>
      </c>
      <c r="H67" s="418">
        <v>0</v>
      </c>
      <c r="I67" s="418">
        <v>0</v>
      </c>
      <c r="J67" s="467">
        <v>0</v>
      </c>
      <c r="K67" s="420"/>
      <c r="L67" s="780"/>
      <c r="M67" s="339"/>
      <c r="N67" s="1"/>
    </row>
    <row r="68" spans="1:14" ht="13.5" thickBot="1">
      <c r="A68" s="783"/>
      <c r="B68" s="786"/>
      <c r="C68" s="421" t="s">
        <v>17</v>
      </c>
      <c r="D68" s="789"/>
      <c r="E68" s="499">
        <f>SUM(F68:I68)</f>
        <v>0</v>
      </c>
      <c r="F68" s="487">
        <v>0</v>
      </c>
      <c r="G68" s="488">
        <v>0</v>
      </c>
      <c r="H68" s="496">
        <v>0</v>
      </c>
      <c r="I68" s="496">
        <v>0</v>
      </c>
      <c r="J68" s="473">
        <v>0</v>
      </c>
      <c r="K68" s="425"/>
      <c r="L68" s="780"/>
      <c r="M68" s="339"/>
      <c r="N68" s="98"/>
    </row>
    <row r="69" spans="1:14" s="10" customFormat="1" ht="12.75" customHeight="1">
      <c r="A69" s="781" t="s">
        <v>165</v>
      </c>
      <c r="B69" s="784" t="s">
        <v>115</v>
      </c>
      <c r="C69" s="411" t="s">
        <v>14</v>
      </c>
      <c r="D69" s="787">
        <f>E69+E70+E71</f>
        <v>211599.99</v>
      </c>
      <c r="E69" s="412">
        <f>SUM(F69:J69)</f>
        <v>211599.99</v>
      </c>
      <c r="F69" s="492">
        <v>211599.99</v>
      </c>
      <c r="G69" s="500">
        <v>0</v>
      </c>
      <c r="H69" s="501">
        <v>0</v>
      </c>
      <c r="I69" s="501">
        <v>0</v>
      </c>
      <c r="J69" s="502">
        <v>0</v>
      </c>
      <c r="K69" s="415"/>
      <c r="L69" s="780"/>
      <c r="M69" s="339"/>
      <c r="N69" s="9"/>
    </row>
    <row r="70" spans="1:14" s="10" customFormat="1" ht="12.75" customHeight="1">
      <c r="A70" s="782"/>
      <c r="B70" s="785"/>
      <c r="C70" s="416" t="s">
        <v>16</v>
      </c>
      <c r="D70" s="788"/>
      <c r="E70" s="443">
        <f>SUM(F70:J70)</f>
        <v>0</v>
      </c>
      <c r="F70" s="417">
        <v>0</v>
      </c>
      <c r="G70" s="417">
        <v>0</v>
      </c>
      <c r="H70" s="418">
        <v>0</v>
      </c>
      <c r="I70" s="418">
        <v>0</v>
      </c>
      <c r="J70" s="419">
        <v>0</v>
      </c>
      <c r="K70" s="420"/>
      <c r="L70" s="780"/>
      <c r="M70" s="339"/>
      <c r="N70" s="9"/>
    </row>
    <row r="71" spans="1:14" s="10" customFormat="1" ht="13.5" customHeight="1" thickBot="1">
      <c r="A71" s="783"/>
      <c r="B71" s="786"/>
      <c r="C71" s="421" t="s">
        <v>17</v>
      </c>
      <c r="D71" s="789"/>
      <c r="E71" s="422">
        <f>SUM(F71:J71)</f>
        <v>0</v>
      </c>
      <c r="F71" s="423">
        <v>0</v>
      </c>
      <c r="G71" s="423">
        <v>0</v>
      </c>
      <c r="H71" s="423">
        <v>0</v>
      </c>
      <c r="I71" s="423">
        <v>0</v>
      </c>
      <c r="J71" s="424">
        <v>0</v>
      </c>
      <c r="K71" s="425"/>
      <c r="L71" s="780"/>
      <c r="M71" s="339"/>
      <c r="N71" s="9"/>
    </row>
    <row r="72" spans="1:14" ht="12.75" customHeight="1">
      <c r="A72" s="781" t="s">
        <v>164</v>
      </c>
      <c r="B72" s="784" t="s">
        <v>127</v>
      </c>
      <c r="C72" s="411" t="s">
        <v>14</v>
      </c>
      <c r="D72" s="787">
        <f>E72+E73+E74</f>
        <v>107564000</v>
      </c>
      <c r="E72" s="417">
        <f>SUM(F72:J72)</f>
        <v>0</v>
      </c>
      <c r="F72" s="417">
        <f>SUM(G72:L72)</f>
        <v>0</v>
      </c>
      <c r="G72" s="417">
        <f>SUM(H72:N72)</f>
        <v>0</v>
      </c>
      <c r="H72" s="417">
        <f>SUM(I72:O72)</f>
        <v>0</v>
      </c>
      <c r="I72" s="417">
        <f>SUM(J72:P72)</f>
        <v>0</v>
      </c>
      <c r="J72" s="465">
        <f>SUM(L72:Q72)</f>
        <v>0</v>
      </c>
      <c r="K72" s="481"/>
      <c r="L72" s="780"/>
      <c r="M72" s="339"/>
      <c r="N72" s="1"/>
    </row>
    <row r="73" spans="1:14" ht="12.75" customHeight="1">
      <c r="A73" s="782"/>
      <c r="B73" s="785"/>
      <c r="C73" s="416" t="s">
        <v>16</v>
      </c>
      <c r="D73" s="788"/>
      <c r="E73" s="417">
        <f>SUM(F73:I73)</f>
        <v>0</v>
      </c>
      <c r="F73" s="417">
        <f>SUM(G73:J73)</f>
        <v>0</v>
      </c>
      <c r="G73" s="417">
        <f>SUM(H73:L73)</f>
        <v>0</v>
      </c>
      <c r="H73" s="417">
        <f>SUM(I73:N73)</f>
        <v>0</v>
      </c>
      <c r="I73" s="417">
        <f>SUM(J73:O73)</f>
        <v>0</v>
      </c>
      <c r="J73" s="465">
        <f>SUM(L73:P73)</f>
        <v>0</v>
      </c>
      <c r="K73" s="484"/>
      <c r="L73" s="780"/>
      <c r="M73" s="339"/>
      <c r="N73" s="1"/>
    </row>
    <row r="74" spans="1:14" ht="12.75" customHeight="1" thickBot="1">
      <c r="A74" s="783"/>
      <c r="B74" s="786"/>
      <c r="C74" s="421" t="s">
        <v>17</v>
      </c>
      <c r="D74" s="789"/>
      <c r="E74" s="422">
        <f>SUM(F74:I74)</f>
        <v>107564000</v>
      </c>
      <c r="F74" s="422">
        <v>0</v>
      </c>
      <c r="G74" s="500">
        <v>30000000</v>
      </c>
      <c r="H74" s="422">
        <v>45000000</v>
      </c>
      <c r="I74" s="422">
        <f>107564000-H74-G74</f>
        <v>32564000</v>
      </c>
      <c r="J74" s="499"/>
      <c r="K74" s="503"/>
      <c r="L74" s="780"/>
      <c r="M74" s="339"/>
      <c r="N74" s="1"/>
    </row>
    <row r="75" spans="1:14" s="10" customFormat="1" ht="13.5" customHeight="1">
      <c r="A75" s="781" t="s">
        <v>166</v>
      </c>
      <c r="B75" s="784" t="s">
        <v>137</v>
      </c>
      <c r="C75" s="411" t="s">
        <v>14</v>
      </c>
      <c r="D75" s="787">
        <v>6000000</v>
      </c>
      <c r="E75" s="412">
        <f aca="true" t="shared" si="4" ref="E75:E101">SUM(F75:J75)</f>
        <v>0</v>
      </c>
      <c r="F75" s="413">
        <f>F78+F81</f>
        <v>0</v>
      </c>
      <c r="G75" s="413">
        <f>G78+G81</f>
        <v>0</v>
      </c>
      <c r="H75" s="413">
        <f>H78+H81</f>
        <v>0</v>
      </c>
      <c r="I75" s="413">
        <f>I78+I81</f>
        <v>0</v>
      </c>
      <c r="J75" s="414">
        <f>J78+J81</f>
        <v>0</v>
      </c>
      <c r="K75" s="799" t="s">
        <v>136</v>
      </c>
      <c r="L75" s="780"/>
      <c r="M75" s="339"/>
      <c r="N75" s="9"/>
    </row>
    <row r="76" spans="1:14" s="10" customFormat="1" ht="13.5" customHeight="1">
      <c r="A76" s="782"/>
      <c r="B76" s="785"/>
      <c r="C76" s="416" t="s">
        <v>16</v>
      </c>
      <c r="D76" s="788"/>
      <c r="E76" s="417">
        <f t="shared" si="4"/>
        <v>0</v>
      </c>
      <c r="F76" s="418">
        <v>0</v>
      </c>
      <c r="G76" s="418">
        <f aca="true" t="shared" si="5" ref="G76:J77">G79+G82</f>
        <v>0</v>
      </c>
      <c r="H76" s="418">
        <f t="shared" si="5"/>
        <v>0</v>
      </c>
      <c r="I76" s="418">
        <f t="shared" si="5"/>
        <v>0</v>
      </c>
      <c r="J76" s="419">
        <f t="shared" si="5"/>
        <v>0</v>
      </c>
      <c r="K76" s="800"/>
      <c r="L76" s="780"/>
      <c r="M76" s="339"/>
      <c r="N76" s="9"/>
    </row>
    <row r="77" spans="1:14" s="10" customFormat="1" ht="36.75" customHeight="1" thickBot="1">
      <c r="A77" s="783"/>
      <c r="B77" s="786"/>
      <c r="C77" s="421" t="s">
        <v>17</v>
      </c>
      <c r="D77" s="789"/>
      <c r="E77" s="422">
        <f t="shared" si="4"/>
        <v>0</v>
      </c>
      <c r="F77" s="418">
        <f>F80+F83</f>
        <v>0</v>
      </c>
      <c r="G77" s="418">
        <f t="shared" si="5"/>
        <v>0</v>
      </c>
      <c r="H77" s="423">
        <f t="shared" si="5"/>
        <v>0</v>
      </c>
      <c r="I77" s="423">
        <f t="shared" si="5"/>
        <v>0</v>
      </c>
      <c r="J77" s="424">
        <f t="shared" si="5"/>
        <v>0</v>
      </c>
      <c r="K77" s="800"/>
      <c r="L77" s="780"/>
      <c r="M77" s="339"/>
      <c r="N77" s="9"/>
    </row>
    <row r="78" spans="1:14" s="10" customFormat="1" ht="13.5" customHeight="1" hidden="1">
      <c r="A78" s="790"/>
      <c r="B78" s="793" t="s">
        <v>121</v>
      </c>
      <c r="C78" s="426" t="s">
        <v>14</v>
      </c>
      <c r="D78" s="796" t="s">
        <v>155</v>
      </c>
      <c r="E78" s="427">
        <f t="shared" si="4"/>
        <v>0</v>
      </c>
      <c r="F78" s="428">
        <v>0</v>
      </c>
      <c r="G78" s="428">
        <v>0</v>
      </c>
      <c r="H78" s="428">
        <v>0</v>
      </c>
      <c r="I78" s="428">
        <v>0</v>
      </c>
      <c r="J78" s="429">
        <v>0</v>
      </c>
      <c r="K78" s="504"/>
      <c r="L78" s="780"/>
      <c r="M78" s="339"/>
      <c r="N78" s="9"/>
    </row>
    <row r="79" spans="1:14" s="10" customFormat="1" ht="13.5" customHeight="1" hidden="1">
      <c r="A79" s="791"/>
      <c r="B79" s="794"/>
      <c r="C79" s="431" t="s">
        <v>16</v>
      </c>
      <c r="D79" s="797"/>
      <c r="E79" s="432">
        <f t="shared" si="4"/>
        <v>0</v>
      </c>
      <c r="F79" s="433">
        <v>0</v>
      </c>
      <c r="G79" s="433">
        <v>0</v>
      </c>
      <c r="H79" s="433">
        <v>0</v>
      </c>
      <c r="I79" s="433">
        <v>0</v>
      </c>
      <c r="J79" s="434">
        <v>0</v>
      </c>
      <c r="K79" s="504"/>
      <c r="L79" s="780"/>
      <c r="M79" s="339"/>
      <c r="N79" s="9"/>
    </row>
    <row r="80" spans="1:14" s="10" customFormat="1" ht="25.5" customHeight="1" hidden="1">
      <c r="A80" s="792"/>
      <c r="B80" s="795"/>
      <c r="C80" s="431" t="s">
        <v>17</v>
      </c>
      <c r="D80" s="798"/>
      <c r="E80" s="436">
        <f t="shared" si="4"/>
        <v>0</v>
      </c>
      <c r="F80" s="437">
        <v>0</v>
      </c>
      <c r="G80" s="437">
        <v>0</v>
      </c>
      <c r="H80" s="437">
        <v>0</v>
      </c>
      <c r="I80" s="437">
        <v>0</v>
      </c>
      <c r="J80" s="438">
        <v>0</v>
      </c>
      <c r="K80" s="504"/>
      <c r="L80" s="780"/>
      <c r="M80" s="339"/>
      <c r="N80" s="9"/>
    </row>
    <row r="81" spans="1:14" s="10" customFormat="1" ht="13.5" customHeight="1" hidden="1">
      <c r="A81" s="790"/>
      <c r="B81" s="793" t="s">
        <v>122</v>
      </c>
      <c r="C81" s="426" t="s">
        <v>14</v>
      </c>
      <c r="D81" s="796" t="s">
        <v>154</v>
      </c>
      <c r="E81" s="427">
        <f t="shared" si="4"/>
        <v>0</v>
      </c>
      <c r="F81" s="427">
        <v>0</v>
      </c>
      <c r="G81" s="427">
        <v>0</v>
      </c>
      <c r="H81" s="427">
        <v>0</v>
      </c>
      <c r="I81" s="428">
        <v>0</v>
      </c>
      <c r="J81" s="440">
        <v>0</v>
      </c>
      <c r="K81" s="504"/>
      <c r="L81" s="780"/>
      <c r="M81" s="339"/>
      <c r="N81" s="9"/>
    </row>
    <row r="82" spans="1:14" s="10" customFormat="1" ht="13.5" customHeight="1" hidden="1">
      <c r="A82" s="791"/>
      <c r="B82" s="794"/>
      <c r="C82" s="431" t="s">
        <v>16</v>
      </c>
      <c r="D82" s="797"/>
      <c r="E82" s="432">
        <f t="shared" si="4"/>
        <v>0</v>
      </c>
      <c r="F82" s="433">
        <v>0</v>
      </c>
      <c r="G82" s="433">
        <v>0</v>
      </c>
      <c r="H82" s="433">
        <v>0</v>
      </c>
      <c r="I82" s="433">
        <v>0</v>
      </c>
      <c r="J82" s="434">
        <v>0</v>
      </c>
      <c r="K82" s="504"/>
      <c r="L82" s="780"/>
      <c r="M82" s="339"/>
      <c r="N82" s="9"/>
    </row>
    <row r="83" spans="1:14" s="10" customFormat="1" ht="26.25" customHeight="1" hidden="1">
      <c r="A83" s="792"/>
      <c r="B83" s="795"/>
      <c r="C83" s="431" t="s">
        <v>17</v>
      </c>
      <c r="D83" s="798"/>
      <c r="E83" s="436">
        <f t="shared" si="4"/>
        <v>0</v>
      </c>
      <c r="F83" s="436">
        <v>0</v>
      </c>
      <c r="G83" s="436">
        <v>0</v>
      </c>
      <c r="H83" s="436">
        <v>0</v>
      </c>
      <c r="I83" s="436">
        <v>0</v>
      </c>
      <c r="J83" s="438">
        <v>0</v>
      </c>
      <c r="K83" s="504"/>
      <c r="L83" s="780"/>
      <c r="M83" s="339"/>
      <c r="N83" s="9"/>
    </row>
    <row r="84" spans="1:14" s="10" customFormat="1" ht="13.5" customHeight="1">
      <c r="A84" s="781" t="s">
        <v>167</v>
      </c>
      <c r="B84" s="784" t="s">
        <v>117</v>
      </c>
      <c r="C84" s="411" t="s">
        <v>14</v>
      </c>
      <c r="D84" s="787">
        <f>E84+E85+E86</f>
        <v>887557.09</v>
      </c>
      <c r="E84" s="412">
        <f t="shared" si="4"/>
        <v>887557.09</v>
      </c>
      <c r="F84" s="412">
        <v>0</v>
      </c>
      <c r="G84" s="413">
        <v>0</v>
      </c>
      <c r="H84" s="413">
        <v>0</v>
      </c>
      <c r="I84" s="413">
        <f>1000000-112442.91</f>
        <v>887557.09</v>
      </c>
      <c r="J84" s="414">
        <v>0</v>
      </c>
      <c r="K84" s="481"/>
      <c r="L84" s="780"/>
      <c r="M84" s="339"/>
      <c r="N84" s="9"/>
    </row>
    <row r="85" spans="1:14" s="10" customFormat="1" ht="13.5" customHeight="1">
      <c r="A85" s="782"/>
      <c r="B85" s="785"/>
      <c r="C85" s="416" t="s">
        <v>16</v>
      </c>
      <c r="D85" s="788"/>
      <c r="E85" s="417">
        <f t="shared" si="4"/>
        <v>0</v>
      </c>
      <c r="F85" s="417">
        <v>0</v>
      </c>
      <c r="G85" s="418">
        <v>0</v>
      </c>
      <c r="H85" s="418">
        <v>0</v>
      </c>
      <c r="I85" s="418">
        <v>0</v>
      </c>
      <c r="J85" s="419">
        <v>0</v>
      </c>
      <c r="K85" s="484"/>
      <c r="L85" s="780"/>
      <c r="M85" s="339"/>
      <c r="N85" s="9"/>
    </row>
    <row r="86" spans="1:14" s="10" customFormat="1" ht="21.75" customHeight="1" thickBot="1">
      <c r="A86" s="783"/>
      <c r="B86" s="786"/>
      <c r="C86" s="421" t="s">
        <v>17</v>
      </c>
      <c r="D86" s="789"/>
      <c r="E86" s="422">
        <f t="shared" si="4"/>
        <v>0</v>
      </c>
      <c r="F86" s="459">
        <v>0</v>
      </c>
      <c r="G86" s="475">
        <v>0</v>
      </c>
      <c r="H86" s="475">
        <v>0</v>
      </c>
      <c r="I86" s="475">
        <v>0</v>
      </c>
      <c r="J86" s="476">
        <v>0</v>
      </c>
      <c r="K86" s="503"/>
      <c r="L86" s="780"/>
      <c r="M86" s="339"/>
      <c r="N86" s="9"/>
    </row>
    <row r="87" spans="1:14" s="10" customFormat="1" ht="13.5" customHeight="1">
      <c r="A87" s="781" t="s">
        <v>168</v>
      </c>
      <c r="B87" s="784" t="s">
        <v>114</v>
      </c>
      <c r="C87" s="411" t="s">
        <v>14</v>
      </c>
      <c r="D87" s="787">
        <v>73200</v>
      </c>
      <c r="E87" s="461">
        <f t="shared" si="4"/>
        <v>73241</v>
      </c>
      <c r="F87" s="492">
        <v>73241</v>
      </c>
      <c r="G87" s="479">
        <v>0</v>
      </c>
      <c r="H87" s="479">
        <v>0</v>
      </c>
      <c r="I87" s="479">
        <v>0</v>
      </c>
      <c r="J87" s="478">
        <v>0</v>
      </c>
      <c r="K87" s="481"/>
      <c r="L87" s="780"/>
      <c r="M87" s="339"/>
      <c r="N87" s="9"/>
    </row>
    <row r="88" spans="1:14" s="10" customFormat="1" ht="12.75">
      <c r="A88" s="782"/>
      <c r="B88" s="785"/>
      <c r="C88" s="416" t="s">
        <v>16</v>
      </c>
      <c r="D88" s="788"/>
      <c r="E88" s="465">
        <f t="shared" si="4"/>
        <v>61181</v>
      </c>
      <c r="F88" s="466">
        <v>0</v>
      </c>
      <c r="G88" s="417">
        <f>61181</f>
        <v>61181</v>
      </c>
      <c r="H88" s="417">
        <v>0</v>
      </c>
      <c r="I88" s="417">
        <v>0</v>
      </c>
      <c r="J88" s="465">
        <v>0</v>
      </c>
      <c r="K88" s="484"/>
      <c r="L88" s="780"/>
      <c r="M88" s="339"/>
      <c r="N88" s="9"/>
    </row>
    <row r="89" spans="1:15" s="10" customFormat="1" ht="13.5" thickBot="1">
      <c r="A89" s="783"/>
      <c r="B89" s="786"/>
      <c r="C89" s="421" t="s">
        <v>17</v>
      </c>
      <c r="D89" s="789"/>
      <c r="E89" s="499">
        <f t="shared" si="4"/>
        <v>0</v>
      </c>
      <c r="F89" s="487">
        <v>0</v>
      </c>
      <c r="G89" s="488">
        <v>0</v>
      </c>
      <c r="H89" s="488">
        <v>0</v>
      </c>
      <c r="I89" s="488">
        <v>0</v>
      </c>
      <c r="J89" s="486">
        <v>0</v>
      </c>
      <c r="K89" s="503"/>
      <c r="L89" s="780"/>
      <c r="M89" s="380"/>
      <c r="N89" s="327"/>
      <c r="O89" s="329"/>
    </row>
    <row r="90" spans="1:15" s="10" customFormat="1" ht="12.75" customHeight="1">
      <c r="A90" s="781" t="s">
        <v>169</v>
      </c>
      <c r="B90" s="784" t="s">
        <v>215</v>
      </c>
      <c r="C90" s="411" t="s">
        <v>14</v>
      </c>
      <c r="D90" s="787">
        <f>H90+H91</f>
        <v>246582</v>
      </c>
      <c r="E90" s="505"/>
      <c r="F90" s="492">
        <v>0</v>
      </c>
      <c r="G90" s="479">
        <v>0</v>
      </c>
      <c r="H90" s="506">
        <f>ROUND((246582)*5/100,2)</f>
        <v>12329.1</v>
      </c>
      <c r="I90" s="507">
        <v>0</v>
      </c>
      <c r="J90" s="478">
        <v>0</v>
      </c>
      <c r="K90" s="508"/>
      <c r="L90" s="780"/>
      <c r="M90" s="380"/>
      <c r="N90" s="327"/>
      <c r="O90" s="329"/>
    </row>
    <row r="91" spans="1:15" s="10" customFormat="1" ht="12.75">
      <c r="A91" s="782"/>
      <c r="B91" s="785"/>
      <c r="C91" s="416" t="s">
        <v>16</v>
      </c>
      <c r="D91" s="788"/>
      <c r="E91" s="505"/>
      <c r="F91" s="509">
        <v>0</v>
      </c>
      <c r="G91" s="459">
        <v>0</v>
      </c>
      <c r="H91" s="510">
        <f>ROUND((246582)*95/100,2)</f>
        <v>234252.9</v>
      </c>
      <c r="I91" s="511">
        <v>0</v>
      </c>
      <c r="J91" s="465">
        <v>0</v>
      </c>
      <c r="K91" s="512"/>
      <c r="L91" s="780"/>
      <c r="M91" s="381"/>
      <c r="N91" s="330"/>
      <c r="O91" s="394"/>
    </row>
    <row r="92" spans="1:16" s="10" customFormat="1" ht="13.5" thickBot="1">
      <c r="A92" s="783"/>
      <c r="B92" s="786"/>
      <c r="C92" s="421" t="s">
        <v>17</v>
      </c>
      <c r="D92" s="789"/>
      <c r="E92" s="505"/>
      <c r="F92" s="513">
        <v>0</v>
      </c>
      <c r="G92" s="514">
        <v>0</v>
      </c>
      <c r="H92" s="515">
        <v>0</v>
      </c>
      <c r="I92" s="516">
        <v>0</v>
      </c>
      <c r="J92" s="486">
        <v>0</v>
      </c>
      <c r="K92" s="517"/>
      <c r="L92" s="780"/>
      <c r="M92" s="380"/>
      <c r="N92" s="330"/>
      <c r="O92" s="394"/>
      <c r="P92" s="278"/>
    </row>
    <row r="93" spans="1:15" ht="13.5" customHeight="1">
      <c r="A93" s="805" t="s">
        <v>170</v>
      </c>
      <c r="B93" s="784" t="s">
        <v>126</v>
      </c>
      <c r="C93" s="411" t="s">
        <v>14</v>
      </c>
      <c r="D93" s="787">
        <f>E93+E94+E95</f>
        <v>6056950</v>
      </c>
      <c r="E93" s="461">
        <f t="shared" si="4"/>
        <v>302850</v>
      </c>
      <c r="F93" s="518">
        <v>0</v>
      </c>
      <c r="G93" s="518">
        <v>302850</v>
      </c>
      <c r="H93" s="519">
        <v>0</v>
      </c>
      <c r="I93" s="500">
        <v>0</v>
      </c>
      <c r="J93" s="498">
        <v>0</v>
      </c>
      <c r="K93" s="484"/>
      <c r="L93" s="780"/>
      <c r="M93" s="381"/>
      <c r="N93" s="385"/>
      <c r="O93" s="386"/>
    </row>
    <row r="94" spans="1:16" ht="12.75">
      <c r="A94" s="806"/>
      <c r="B94" s="785"/>
      <c r="C94" s="416" t="s">
        <v>16</v>
      </c>
      <c r="D94" s="788"/>
      <c r="E94" s="417">
        <f t="shared" si="4"/>
        <v>5754100</v>
      </c>
      <c r="F94" s="500">
        <v>0</v>
      </c>
      <c r="G94" s="500">
        <v>5754100</v>
      </c>
      <c r="H94" s="417">
        <v>0</v>
      </c>
      <c r="I94" s="417">
        <v>0</v>
      </c>
      <c r="J94" s="465">
        <v>0</v>
      </c>
      <c r="K94" s="484"/>
      <c r="L94" s="780"/>
      <c r="M94" s="380"/>
      <c r="N94" s="385"/>
      <c r="O94" s="386"/>
      <c r="P94" s="261"/>
    </row>
    <row r="95" spans="1:15" ht="13.5" customHeight="1" thickBot="1">
      <c r="A95" s="807"/>
      <c r="B95" s="786"/>
      <c r="C95" s="421" t="s">
        <v>17</v>
      </c>
      <c r="D95" s="789"/>
      <c r="E95" s="422">
        <f t="shared" si="4"/>
        <v>0</v>
      </c>
      <c r="F95" s="459">
        <v>0</v>
      </c>
      <c r="G95" s="459">
        <v>0</v>
      </c>
      <c r="H95" s="459">
        <v>0</v>
      </c>
      <c r="I95" s="459">
        <v>0</v>
      </c>
      <c r="J95" s="471">
        <v>0</v>
      </c>
      <c r="K95" s="490"/>
      <c r="L95" s="780"/>
      <c r="M95" s="381"/>
      <c r="N95" s="391"/>
      <c r="O95" s="386"/>
    </row>
    <row r="96" spans="1:15" ht="13.5" customHeight="1">
      <c r="A96" s="805" t="s">
        <v>171</v>
      </c>
      <c r="B96" s="784" t="s">
        <v>118</v>
      </c>
      <c r="C96" s="411" t="s">
        <v>14</v>
      </c>
      <c r="D96" s="787">
        <f>E96+E97+E98</f>
        <v>878000</v>
      </c>
      <c r="E96" s="461">
        <f t="shared" si="4"/>
        <v>878000</v>
      </c>
      <c r="F96" s="492">
        <v>0</v>
      </c>
      <c r="G96" s="479">
        <v>878000</v>
      </c>
      <c r="H96" s="479">
        <v>0</v>
      </c>
      <c r="I96" s="479">
        <v>0</v>
      </c>
      <c r="J96" s="478">
        <v>0</v>
      </c>
      <c r="K96" s="481"/>
      <c r="L96" s="780"/>
      <c r="M96" s="381"/>
      <c r="N96" s="391"/>
      <c r="O96" s="386"/>
    </row>
    <row r="97" spans="1:16" ht="13.5" customHeight="1">
      <c r="A97" s="806"/>
      <c r="B97" s="785"/>
      <c r="C97" s="416" t="s">
        <v>16</v>
      </c>
      <c r="D97" s="788"/>
      <c r="E97" s="465">
        <f t="shared" si="4"/>
        <v>0</v>
      </c>
      <c r="F97" s="466">
        <v>0</v>
      </c>
      <c r="G97" s="417">
        <v>0</v>
      </c>
      <c r="H97" s="417">
        <v>0</v>
      </c>
      <c r="I97" s="417">
        <v>0</v>
      </c>
      <c r="J97" s="465">
        <v>0</v>
      </c>
      <c r="K97" s="484"/>
      <c r="L97" s="780"/>
      <c r="M97" s="380"/>
      <c r="N97" s="391"/>
      <c r="O97" s="386"/>
      <c r="P97" s="261"/>
    </row>
    <row r="98" spans="1:15" ht="14.25" customHeight="1" thickBot="1">
      <c r="A98" s="807"/>
      <c r="B98" s="786"/>
      <c r="C98" s="421" t="s">
        <v>17</v>
      </c>
      <c r="D98" s="789"/>
      <c r="E98" s="499">
        <f t="shared" si="4"/>
        <v>0</v>
      </c>
      <c r="F98" s="487">
        <v>0</v>
      </c>
      <c r="G98" s="488">
        <v>0</v>
      </c>
      <c r="H98" s="488">
        <v>0</v>
      </c>
      <c r="I98" s="488">
        <v>0</v>
      </c>
      <c r="J98" s="486">
        <v>0</v>
      </c>
      <c r="K98" s="503"/>
      <c r="L98" s="780"/>
      <c r="M98" s="380"/>
      <c r="N98" s="391"/>
      <c r="O98" s="386"/>
    </row>
    <row r="99" spans="1:15" ht="13.5" customHeight="1" hidden="1">
      <c r="A99" s="805" t="s">
        <v>172</v>
      </c>
      <c r="B99" s="784" t="s">
        <v>120</v>
      </c>
      <c r="C99" s="411" t="s">
        <v>14</v>
      </c>
      <c r="D99" s="787">
        <f>E99+E100+E101</f>
        <v>0</v>
      </c>
      <c r="E99" s="412">
        <f t="shared" si="4"/>
        <v>0</v>
      </c>
      <c r="F99" s="501">
        <v>0</v>
      </c>
      <c r="G99" s="501">
        <v>0</v>
      </c>
      <c r="H99" s="501">
        <v>0</v>
      </c>
      <c r="I99" s="501">
        <v>0</v>
      </c>
      <c r="J99" s="520">
        <v>0</v>
      </c>
      <c r="K99" s="521"/>
      <c r="L99" s="780"/>
      <c r="M99" s="380"/>
      <c r="N99" s="391"/>
      <c r="O99" s="386"/>
    </row>
    <row r="100" spans="1:15" ht="13.5" customHeight="1" hidden="1">
      <c r="A100" s="806"/>
      <c r="B100" s="785"/>
      <c r="C100" s="416" t="s">
        <v>16</v>
      </c>
      <c r="D100" s="788"/>
      <c r="E100" s="417">
        <f t="shared" si="4"/>
        <v>0</v>
      </c>
      <c r="F100" s="418">
        <v>0</v>
      </c>
      <c r="G100" s="418">
        <v>0</v>
      </c>
      <c r="H100" s="413">
        <v>0</v>
      </c>
      <c r="I100" s="418">
        <v>0</v>
      </c>
      <c r="J100" s="522">
        <v>0</v>
      </c>
      <c r="K100" s="521"/>
      <c r="L100" s="780"/>
      <c r="M100" s="380"/>
      <c r="N100" s="391"/>
      <c r="O100" s="386"/>
    </row>
    <row r="101" spans="1:15" ht="13.5" customHeight="1" hidden="1">
      <c r="A101" s="807"/>
      <c r="B101" s="786"/>
      <c r="C101" s="421" t="s">
        <v>17</v>
      </c>
      <c r="D101" s="789"/>
      <c r="E101" s="422">
        <f t="shared" si="4"/>
        <v>0</v>
      </c>
      <c r="F101" s="418">
        <v>0</v>
      </c>
      <c r="G101" s="418">
        <v>0</v>
      </c>
      <c r="H101" s="413">
        <v>0</v>
      </c>
      <c r="I101" s="423">
        <v>0</v>
      </c>
      <c r="J101" s="523">
        <v>0</v>
      </c>
      <c r="K101" s="524"/>
      <c r="L101" s="780"/>
      <c r="M101" s="380"/>
      <c r="N101" s="391"/>
      <c r="O101" s="386"/>
    </row>
    <row r="102" spans="1:16" ht="13.5" customHeight="1">
      <c r="A102" s="805" t="s">
        <v>173</v>
      </c>
      <c r="B102" s="784" t="s">
        <v>123</v>
      </c>
      <c r="C102" s="411" t="s">
        <v>14</v>
      </c>
      <c r="D102" s="787">
        <v>2364000</v>
      </c>
      <c r="E102" s="412">
        <f>SUM(F102:J102)</f>
        <v>0</v>
      </c>
      <c r="F102" s="413">
        <v>0</v>
      </c>
      <c r="G102" s="413">
        <v>0</v>
      </c>
      <c r="H102" s="413">
        <v>0</v>
      </c>
      <c r="I102" s="413">
        <v>0</v>
      </c>
      <c r="J102" s="414">
        <v>0</v>
      </c>
      <c r="K102" s="799" t="s">
        <v>136</v>
      </c>
      <c r="L102" s="780"/>
      <c r="M102" s="381"/>
      <c r="N102" s="391"/>
      <c r="O102" s="386"/>
      <c r="P102" s="261"/>
    </row>
    <row r="103" spans="1:16" ht="13.5" customHeight="1">
      <c r="A103" s="806"/>
      <c r="B103" s="785"/>
      <c r="C103" s="416" t="s">
        <v>16</v>
      </c>
      <c r="D103" s="788"/>
      <c r="E103" s="417">
        <f>SUM(F103:J103)</f>
        <v>0</v>
      </c>
      <c r="F103" s="418">
        <v>0</v>
      </c>
      <c r="G103" s="418">
        <v>0</v>
      </c>
      <c r="H103" s="418">
        <v>0</v>
      </c>
      <c r="I103" s="418">
        <v>0</v>
      </c>
      <c r="J103" s="419">
        <v>0</v>
      </c>
      <c r="K103" s="800"/>
      <c r="L103" s="780"/>
      <c r="M103" s="380"/>
      <c r="N103" s="391"/>
      <c r="O103" s="386"/>
      <c r="P103" s="261"/>
    </row>
    <row r="104" spans="1:16" ht="23.25" customHeight="1" thickBot="1">
      <c r="A104" s="807"/>
      <c r="B104" s="786"/>
      <c r="C104" s="421" t="s">
        <v>17</v>
      </c>
      <c r="D104" s="789"/>
      <c r="E104" s="422">
        <f>SUM(F104:J104)</f>
        <v>0</v>
      </c>
      <c r="F104" s="418">
        <v>0</v>
      </c>
      <c r="G104" s="418">
        <v>0</v>
      </c>
      <c r="H104" s="423">
        <v>0</v>
      </c>
      <c r="I104" s="423">
        <v>0</v>
      </c>
      <c r="J104" s="424">
        <v>0</v>
      </c>
      <c r="K104" s="801"/>
      <c r="L104" s="780"/>
      <c r="M104" s="381"/>
      <c r="N104" s="385"/>
      <c r="O104" s="386"/>
      <c r="P104" s="261"/>
    </row>
    <row r="105" spans="1:16" ht="13.5" customHeight="1">
      <c r="A105" s="805" t="s">
        <v>174</v>
      </c>
      <c r="B105" s="784" t="s">
        <v>124</v>
      </c>
      <c r="C105" s="411" t="s">
        <v>14</v>
      </c>
      <c r="D105" s="787">
        <f>E105+E106+E107</f>
        <v>2500000</v>
      </c>
      <c r="E105" s="412">
        <f aca="true" t="shared" si="6" ref="E105:E143">SUM(F105:J105)</f>
        <v>2500000</v>
      </c>
      <c r="F105" s="413">
        <v>0</v>
      </c>
      <c r="G105" s="413">
        <v>0</v>
      </c>
      <c r="H105" s="413">
        <v>2500000</v>
      </c>
      <c r="I105" s="413">
        <v>0</v>
      </c>
      <c r="J105" s="414">
        <v>0</v>
      </c>
      <c r="K105" s="415"/>
      <c r="L105" s="780"/>
      <c r="M105" s="381"/>
      <c r="N105" s="391"/>
      <c r="O105" s="386"/>
      <c r="P105" s="261"/>
    </row>
    <row r="106" spans="1:15" ht="13.5" customHeight="1">
      <c r="A106" s="806"/>
      <c r="B106" s="785"/>
      <c r="C106" s="416" t="s">
        <v>16</v>
      </c>
      <c r="D106" s="788"/>
      <c r="E106" s="417">
        <f t="shared" si="6"/>
        <v>0</v>
      </c>
      <c r="F106" s="418">
        <v>0</v>
      </c>
      <c r="G106" s="418">
        <v>0</v>
      </c>
      <c r="H106" s="418">
        <v>0</v>
      </c>
      <c r="I106" s="418">
        <v>0</v>
      </c>
      <c r="J106" s="419">
        <v>0</v>
      </c>
      <c r="K106" s="420"/>
      <c r="L106" s="780"/>
      <c r="M106" s="380"/>
      <c r="N106" s="391"/>
      <c r="O106" s="386"/>
    </row>
    <row r="107" spans="1:15" ht="11.25" customHeight="1" thickBot="1">
      <c r="A107" s="807"/>
      <c r="B107" s="786"/>
      <c r="C107" s="421" t="s">
        <v>17</v>
      </c>
      <c r="D107" s="789"/>
      <c r="E107" s="422">
        <f t="shared" si="6"/>
        <v>0</v>
      </c>
      <c r="F107" s="418">
        <v>0</v>
      </c>
      <c r="G107" s="418">
        <v>0</v>
      </c>
      <c r="H107" s="423">
        <v>0</v>
      </c>
      <c r="I107" s="423">
        <v>0</v>
      </c>
      <c r="J107" s="424">
        <v>0</v>
      </c>
      <c r="K107" s="425"/>
      <c r="L107" s="780"/>
      <c r="M107" s="380"/>
      <c r="N107" s="391"/>
      <c r="O107" s="387"/>
    </row>
    <row r="108" spans="1:15" ht="13.5" customHeight="1">
      <c r="A108" s="805" t="s">
        <v>175</v>
      </c>
      <c r="B108" s="784" t="s">
        <v>125</v>
      </c>
      <c r="C108" s="411" t="s">
        <v>14</v>
      </c>
      <c r="D108" s="787">
        <f>E108+E109+E110</f>
        <v>2472193.89</v>
      </c>
      <c r="E108" s="412">
        <f t="shared" si="6"/>
        <v>2472193.89</v>
      </c>
      <c r="F108" s="413">
        <v>0</v>
      </c>
      <c r="G108" s="413">
        <v>0</v>
      </c>
      <c r="H108" s="413">
        <f>2000000+282100+119.89-99052.02+289026.02</f>
        <v>2472193.89</v>
      </c>
      <c r="I108" s="413">
        <v>0</v>
      </c>
      <c r="J108" s="414">
        <v>0</v>
      </c>
      <c r="K108" s="525"/>
      <c r="L108" s="780"/>
      <c r="M108" s="380"/>
      <c r="N108" s="385"/>
      <c r="O108" s="386"/>
    </row>
    <row r="109" spans="1:15" ht="13.5" customHeight="1">
      <c r="A109" s="806"/>
      <c r="B109" s="785"/>
      <c r="C109" s="416" t="s">
        <v>16</v>
      </c>
      <c r="D109" s="788"/>
      <c r="E109" s="417">
        <f t="shared" si="6"/>
        <v>0</v>
      </c>
      <c r="F109" s="418">
        <v>0</v>
      </c>
      <c r="G109" s="418">
        <v>0</v>
      </c>
      <c r="H109" s="418">
        <v>0</v>
      </c>
      <c r="I109" s="418">
        <v>0</v>
      </c>
      <c r="J109" s="419">
        <v>0</v>
      </c>
      <c r="K109" s="420"/>
      <c r="L109" s="780"/>
      <c r="M109" s="380"/>
      <c r="N109" s="391"/>
      <c r="O109" s="386"/>
    </row>
    <row r="110" spans="1:15" ht="11.25" customHeight="1" thickBot="1">
      <c r="A110" s="807"/>
      <c r="B110" s="786"/>
      <c r="C110" s="421" t="s">
        <v>17</v>
      </c>
      <c r="D110" s="789"/>
      <c r="E110" s="422">
        <f t="shared" si="6"/>
        <v>0</v>
      </c>
      <c r="F110" s="418">
        <v>0</v>
      </c>
      <c r="G110" s="418">
        <v>0</v>
      </c>
      <c r="H110" s="423">
        <v>0</v>
      </c>
      <c r="I110" s="423">
        <v>0</v>
      </c>
      <c r="J110" s="424">
        <v>0</v>
      </c>
      <c r="K110" s="425"/>
      <c r="L110" s="780"/>
      <c r="M110" s="380"/>
      <c r="N110" s="391"/>
      <c r="O110" s="386"/>
    </row>
    <row r="111" spans="1:15" ht="11.25" customHeight="1">
      <c r="A111" s="805" t="s">
        <v>176</v>
      </c>
      <c r="B111" s="808" t="s">
        <v>184</v>
      </c>
      <c r="C111" s="411" t="s">
        <v>14</v>
      </c>
      <c r="D111" s="822">
        <f>H111+H112</f>
        <v>930683.5800000001</v>
      </c>
      <c r="E111" s="412">
        <f t="shared" si="6"/>
        <v>46534.18</v>
      </c>
      <c r="F111" s="413">
        <v>0</v>
      </c>
      <c r="G111" s="413">
        <v>0</v>
      </c>
      <c r="H111" s="526">
        <f>ROUND((923922+6761.58)*5/100,2)</f>
        <v>46534.18</v>
      </c>
      <c r="I111" s="413">
        <v>0</v>
      </c>
      <c r="J111" s="414">
        <v>0</v>
      </c>
      <c r="K111" s="525"/>
      <c r="L111" s="780"/>
      <c r="M111" s="381"/>
      <c r="N111" s="385"/>
      <c r="O111" s="386"/>
    </row>
    <row r="112" spans="1:17" ht="11.25" customHeight="1">
      <c r="A112" s="806"/>
      <c r="B112" s="809"/>
      <c r="C112" s="416" t="s">
        <v>16</v>
      </c>
      <c r="D112" s="823"/>
      <c r="E112" s="417">
        <f t="shared" si="6"/>
        <v>884149.4</v>
      </c>
      <c r="F112" s="418">
        <v>0</v>
      </c>
      <c r="G112" s="418">
        <v>0</v>
      </c>
      <c r="H112" s="527">
        <f>ROUND((923922+6761.58)*95/100,2)</f>
        <v>884149.4</v>
      </c>
      <c r="I112" s="418">
        <v>0</v>
      </c>
      <c r="J112" s="419">
        <v>0</v>
      </c>
      <c r="K112" s="420"/>
      <c r="L112" s="780"/>
      <c r="M112" s="381"/>
      <c r="N112" s="385"/>
      <c r="O112" s="386"/>
      <c r="Q112" s="261"/>
    </row>
    <row r="113" spans="1:17" ht="11.25" customHeight="1" thickBot="1">
      <c r="A113" s="807"/>
      <c r="B113" s="810"/>
      <c r="C113" s="421" t="s">
        <v>17</v>
      </c>
      <c r="D113" s="824"/>
      <c r="E113" s="422">
        <f t="shared" si="6"/>
        <v>0</v>
      </c>
      <c r="F113" s="418">
        <v>0</v>
      </c>
      <c r="G113" s="418">
        <v>0</v>
      </c>
      <c r="H113" s="528">
        <v>0</v>
      </c>
      <c r="I113" s="423">
        <v>0</v>
      </c>
      <c r="J113" s="424">
        <v>0</v>
      </c>
      <c r="K113" s="425"/>
      <c r="L113" s="780"/>
      <c r="M113" s="381"/>
      <c r="N113" s="385"/>
      <c r="O113" s="386"/>
      <c r="Q113" s="261"/>
    </row>
    <row r="114" spans="1:19" ht="11.25" customHeight="1">
      <c r="A114" s="805" t="s">
        <v>177</v>
      </c>
      <c r="B114" s="808" t="s">
        <v>185</v>
      </c>
      <c r="C114" s="411" t="s">
        <v>14</v>
      </c>
      <c r="D114" s="822">
        <f>H114+H115</f>
        <v>266130.91</v>
      </c>
      <c r="E114" s="412">
        <f t="shared" si="6"/>
        <v>13306.55</v>
      </c>
      <c r="F114" s="413">
        <v>0</v>
      </c>
      <c r="G114" s="413">
        <v>0</v>
      </c>
      <c r="H114" s="526">
        <f>ROUND((263189+2941.9)*5/100,2)</f>
        <v>13306.55</v>
      </c>
      <c r="I114" s="413">
        <v>0</v>
      </c>
      <c r="J114" s="414">
        <v>0</v>
      </c>
      <c r="K114" s="525"/>
      <c r="L114" s="780"/>
      <c r="M114" s="381"/>
      <c r="N114" s="385"/>
      <c r="O114" s="386"/>
      <c r="P114" s="386"/>
      <c r="Q114" s="386"/>
      <c r="R114" s="386"/>
      <c r="S114" s="386"/>
    </row>
    <row r="115" spans="1:19" ht="11.25" customHeight="1">
      <c r="A115" s="806"/>
      <c r="B115" s="809"/>
      <c r="C115" s="416" t="s">
        <v>16</v>
      </c>
      <c r="D115" s="823"/>
      <c r="E115" s="417">
        <f t="shared" si="6"/>
        <v>252824.36</v>
      </c>
      <c r="F115" s="418">
        <v>0</v>
      </c>
      <c r="G115" s="418">
        <v>0</v>
      </c>
      <c r="H115" s="527">
        <f>ROUND((263189+2941.9)*95/100,2)</f>
        <v>252824.36</v>
      </c>
      <c r="I115" s="418">
        <v>0</v>
      </c>
      <c r="J115" s="419">
        <v>0</v>
      </c>
      <c r="K115" s="420"/>
      <c r="L115" s="780"/>
      <c r="M115" s="381"/>
      <c r="N115" s="385"/>
      <c r="O115" s="387"/>
      <c r="P115" s="387"/>
      <c r="Q115" s="386"/>
      <c r="R115" s="386"/>
      <c r="S115" s="386"/>
    </row>
    <row r="116" spans="1:19" ht="11.25" customHeight="1" thickBot="1">
      <c r="A116" s="807"/>
      <c r="B116" s="810"/>
      <c r="C116" s="421" t="s">
        <v>17</v>
      </c>
      <c r="D116" s="824"/>
      <c r="E116" s="422">
        <f t="shared" si="6"/>
        <v>0</v>
      </c>
      <c r="F116" s="418">
        <v>0</v>
      </c>
      <c r="G116" s="418">
        <v>0</v>
      </c>
      <c r="H116" s="528">
        <v>0</v>
      </c>
      <c r="I116" s="423">
        <v>0</v>
      </c>
      <c r="J116" s="424">
        <v>0</v>
      </c>
      <c r="K116" s="425"/>
      <c r="L116" s="780"/>
      <c r="M116" s="381"/>
      <c r="N116" s="385"/>
      <c r="O116" s="386"/>
      <c r="P116" s="387"/>
      <c r="Q116" s="386"/>
      <c r="R116" s="386"/>
      <c r="S116" s="386"/>
    </row>
    <row r="117" spans="1:19" ht="11.25" customHeight="1">
      <c r="A117" s="805" t="s">
        <v>178</v>
      </c>
      <c r="B117" s="808" t="s">
        <v>186</v>
      </c>
      <c r="C117" s="411" t="s">
        <v>14</v>
      </c>
      <c r="D117" s="822">
        <f>H117+H118</f>
        <v>288419.18</v>
      </c>
      <c r="E117" s="412">
        <f t="shared" si="6"/>
        <v>14420.96</v>
      </c>
      <c r="F117" s="413">
        <v>0</v>
      </c>
      <c r="G117" s="413">
        <v>0</v>
      </c>
      <c r="H117" s="526">
        <f>ROUND((281306+7113.18)*5/100,2)</f>
        <v>14420.96</v>
      </c>
      <c r="I117" s="413">
        <v>0</v>
      </c>
      <c r="J117" s="414">
        <v>0</v>
      </c>
      <c r="K117" s="525"/>
      <c r="L117" s="780"/>
      <c r="M117" s="381"/>
      <c r="N117" s="385"/>
      <c r="O117" s="386"/>
      <c r="P117" s="386"/>
      <c r="Q117" s="386"/>
      <c r="R117" s="386"/>
      <c r="S117" s="386"/>
    </row>
    <row r="118" spans="1:19" ht="11.25" customHeight="1">
      <c r="A118" s="806"/>
      <c r="B118" s="809"/>
      <c r="C118" s="416" t="s">
        <v>16</v>
      </c>
      <c r="D118" s="823"/>
      <c r="E118" s="417">
        <f t="shared" si="6"/>
        <v>273998.22</v>
      </c>
      <c r="F118" s="418">
        <v>0</v>
      </c>
      <c r="G118" s="418">
        <v>0</v>
      </c>
      <c r="H118" s="527">
        <f>ROUND((281306+7113.18)*95/100,2)</f>
        <v>273998.22</v>
      </c>
      <c r="I118" s="418">
        <v>0</v>
      </c>
      <c r="J118" s="419">
        <v>0</v>
      </c>
      <c r="K118" s="420"/>
      <c r="L118" s="780"/>
      <c r="M118" s="381"/>
      <c r="N118" s="385"/>
      <c r="O118" s="387"/>
      <c r="P118" s="387"/>
      <c r="Q118" s="386"/>
      <c r="R118" s="386"/>
      <c r="S118" s="386"/>
    </row>
    <row r="119" spans="1:19" ht="11.25" customHeight="1" thickBot="1">
      <c r="A119" s="807"/>
      <c r="B119" s="810"/>
      <c r="C119" s="421" t="s">
        <v>17</v>
      </c>
      <c r="D119" s="824"/>
      <c r="E119" s="422">
        <f t="shared" si="6"/>
        <v>0</v>
      </c>
      <c r="F119" s="418">
        <v>0</v>
      </c>
      <c r="G119" s="418">
        <v>0</v>
      </c>
      <c r="H119" s="528">
        <v>0</v>
      </c>
      <c r="I119" s="423">
        <v>0</v>
      </c>
      <c r="J119" s="424">
        <v>0</v>
      </c>
      <c r="K119" s="425"/>
      <c r="L119" s="780"/>
      <c r="M119" s="380"/>
      <c r="N119" s="385"/>
      <c r="O119" s="386"/>
      <c r="P119" s="386"/>
      <c r="Q119" s="386"/>
      <c r="R119" s="386"/>
      <c r="S119" s="386"/>
    </row>
    <row r="120" spans="1:19" ht="11.25" customHeight="1">
      <c r="A120" s="805" t="s">
        <v>179</v>
      </c>
      <c r="B120" s="808" t="s">
        <v>187</v>
      </c>
      <c r="C120" s="411" t="s">
        <v>14</v>
      </c>
      <c r="D120" s="822">
        <f>H120+H121</f>
        <v>2424339.15</v>
      </c>
      <c r="E120" s="412">
        <f t="shared" si="6"/>
        <v>121216.96</v>
      </c>
      <c r="F120" s="413">
        <v>0</v>
      </c>
      <c r="G120" s="413">
        <v>0</v>
      </c>
      <c r="H120" s="526">
        <f>ROUND((2379271.6+45067.55)*5/100,2)</f>
        <v>121216.96</v>
      </c>
      <c r="I120" s="413">
        <v>0</v>
      </c>
      <c r="J120" s="414">
        <v>0</v>
      </c>
      <c r="K120" s="525"/>
      <c r="L120" s="780"/>
      <c r="M120" s="381"/>
      <c r="N120" s="385"/>
      <c r="O120" s="386"/>
      <c r="P120" s="386"/>
      <c r="Q120" s="386"/>
      <c r="R120" s="386"/>
      <c r="S120" s="386"/>
    </row>
    <row r="121" spans="1:19" ht="11.25" customHeight="1">
      <c r="A121" s="806"/>
      <c r="B121" s="809"/>
      <c r="C121" s="416" t="s">
        <v>16</v>
      </c>
      <c r="D121" s="823"/>
      <c r="E121" s="417">
        <f t="shared" si="6"/>
        <v>2303122.19</v>
      </c>
      <c r="F121" s="418">
        <v>0</v>
      </c>
      <c r="G121" s="418">
        <v>0</v>
      </c>
      <c r="H121" s="527">
        <f>ROUND((2379271.6+45067.55)*95/100,2)</f>
        <v>2303122.19</v>
      </c>
      <c r="I121" s="418">
        <v>0</v>
      </c>
      <c r="J121" s="419">
        <v>0</v>
      </c>
      <c r="K121" s="420"/>
      <c r="L121" s="780"/>
      <c r="M121" s="381"/>
      <c r="N121" s="385"/>
      <c r="O121" s="386"/>
      <c r="P121" s="386"/>
      <c r="Q121" s="387"/>
      <c r="R121" s="386"/>
      <c r="S121" s="386"/>
    </row>
    <row r="122" spans="1:19" s="323" customFormat="1" ht="11.25" customHeight="1" thickBot="1">
      <c r="A122" s="807"/>
      <c r="B122" s="810"/>
      <c r="C122" s="529" t="s">
        <v>17</v>
      </c>
      <c r="D122" s="824"/>
      <c r="E122" s="530">
        <f t="shared" si="6"/>
        <v>0</v>
      </c>
      <c r="F122" s="531">
        <v>0</v>
      </c>
      <c r="G122" s="531">
        <v>0</v>
      </c>
      <c r="H122" s="532">
        <v>0</v>
      </c>
      <c r="I122" s="533">
        <v>0</v>
      </c>
      <c r="J122" s="534">
        <v>0</v>
      </c>
      <c r="K122" s="535"/>
      <c r="L122" s="780"/>
      <c r="M122" s="380"/>
      <c r="N122" s="388"/>
      <c r="O122" s="389"/>
      <c r="P122" s="388"/>
      <c r="Q122" s="388"/>
      <c r="R122" s="389"/>
      <c r="S122" s="389"/>
    </row>
    <row r="123" spans="1:19" s="323" customFormat="1" ht="11.25" customHeight="1">
      <c r="A123" s="805" t="s">
        <v>180</v>
      </c>
      <c r="B123" s="808" t="s">
        <v>193</v>
      </c>
      <c r="C123" s="411" t="s">
        <v>14</v>
      </c>
      <c r="D123" s="822">
        <f>H123+H124</f>
        <v>315512.44</v>
      </c>
      <c r="E123" s="412">
        <f t="shared" si="6"/>
        <v>15775.62</v>
      </c>
      <c r="F123" s="413">
        <v>0</v>
      </c>
      <c r="G123" s="413">
        <v>0</v>
      </c>
      <c r="H123" s="526">
        <f>ROUND((308315+7197.44)*5/100,2)</f>
        <v>15775.62</v>
      </c>
      <c r="I123" s="413">
        <v>0</v>
      </c>
      <c r="J123" s="414">
        <v>0</v>
      </c>
      <c r="K123" s="525"/>
      <c r="L123" s="780"/>
      <c r="M123" s="381"/>
      <c r="N123" s="388"/>
      <c r="O123" s="389"/>
      <c r="P123" s="389"/>
      <c r="Q123" s="389"/>
      <c r="R123" s="389"/>
      <c r="S123" s="389"/>
    </row>
    <row r="124" spans="1:19" s="323" customFormat="1" ht="11.25" customHeight="1">
      <c r="A124" s="806"/>
      <c r="B124" s="809"/>
      <c r="C124" s="416" t="s">
        <v>16</v>
      </c>
      <c r="D124" s="823"/>
      <c r="E124" s="417">
        <f t="shared" si="6"/>
        <v>299736.82</v>
      </c>
      <c r="F124" s="418">
        <v>0</v>
      </c>
      <c r="G124" s="418">
        <v>0</v>
      </c>
      <c r="H124" s="527">
        <f>ROUND((308315+7197.44)*95/100,2)</f>
        <v>299736.82</v>
      </c>
      <c r="I124" s="418">
        <v>0</v>
      </c>
      <c r="J124" s="419">
        <v>0</v>
      </c>
      <c r="K124" s="420"/>
      <c r="L124" s="780"/>
      <c r="M124" s="381"/>
      <c r="N124" s="388"/>
      <c r="O124" s="389"/>
      <c r="P124" s="388"/>
      <c r="Q124" s="389"/>
      <c r="R124" s="389"/>
      <c r="S124" s="389"/>
    </row>
    <row r="125" spans="1:19" ht="11.25" customHeight="1" thickBot="1">
      <c r="A125" s="807"/>
      <c r="B125" s="810"/>
      <c r="C125" s="529" t="s">
        <v>17</v>
      </c>
      <c r="D125" s="824"/>
      <c r="E125" s="530">
        <f t="shared" si="6"/>
        <v>0</v>
      </c>
      <c r="F125" s="531">
        <v>0</v>
      </c>
      <c r="G125" s="531">
        <v>0</v>
      </c>
      <c r="H125" s="532">
        <v>0</v>
      </c>
      <c r="I125" s="533">
        <v>0</v>
      </c>
      <c r="J125" s="534">
        <v>0</v>
      </c>
      <c r="K125" s="535"/>
      <c r="L125" s="780"/>
      <c r="M125" s="380"/>
      <c r="N125" s="385"/>
      <c r="O125" s="387"/>
      <c r="P125" s="387"/>
      <c r="Q125" s="387"/>
      <c r="R125" s="387"/>
      <c r="S125" s="386"/>
    </row>
    <row r="126" spans="1:19" ht="11.25" customHeight="1">
      <c r="A126" s="805" t="s">
        <v>181</v>
      </c>
      <c r="B126" s="808" t="s">
        <v>194</v>
      </c>
      <c r="C126" s="411" t="s">
        <v>14</v>
      </c>
      <c r="D126" s="822">
        <f>H126+H127</f>
        <v>295443.29</v>
      </c>
      <c r="E126" s="412">
        <f t="shared" si="6"/>
        <v>14772.16</v>
      </c>
      <c r="F126" s="413">
        <v>0</v>
      </c>
      <c r="G126" s="413">
        <v>0</v>
      </c>
      <c r="H126" s="526">
        <f>ROUND((292634+2809.29)*5/100,2)</f>
        <v>14772.16</v>
      </c>
      <c r="I126" s="413">
        <v>0</v>
      </c>
      <c r="J126" s="414">
        <v>0</v>
      </c>
      <c r="K126" s="525"/>
      <c r="L126" s="780"/>
      <c r="M126" s="381"/>
      <c r="N126" s="385"/>
      <c r="O126" s="387"/>
      <c r="P126" s="387"/>
      <c r="Q126" s="386"/>
      <c r="R126" s="386"/>
      <c r="S126" s="386"/>
    </row>
    <row r="127" spans="1:19" ht="11.25" customHeight="1">
      <c r="A127" s="806"/>
      <c r="B127" s="809"/>
      <c r="C127" s="416" t="s">
        <v>16</v>
      </c>
      <c r="D127" s="823"/>
      <c r="E127" s="417">
        <f t="shared" si="6"/>
        <v>280671.13</v>
      </c>
      <c r="F127" s="418">
        <v>0</v>
      </c>
      <c r="G127" s="418">
        <v>0</v>
      </c>
      <c r="H127" s="527">
        <f>ROUND((292634+2809.29)*95/100,2)</f>
        <v>280671.13</v>
      </c>
      <c r="I127" s="418">
        <v>0</v>
      </c>
      <c r="J127" s="419">
        <v>0</v>
      </c>
      <c r="K127" s="420"/>
      <c r="L127" s="780"/>
      <c r="M127" s="381"/>
      <c r="N127" s="385"/>
      <c r="O127" s="386"/>
      <c r="P127" s="386"/>
      <c r="Q127" s="386"/>
      <c r="R127" s="387"/>
      <c r="S127" s="386"/>
    </row>
    <row r="128" spans="1:19" ht="11.25" customHeight="1" thickBot="1">
      <c r="A128" s="807"/>
      <c r="B128" s="810"/>
      <c r="C128" s="529" t="s">
        <v>17</v>
      </c>
      <c r="D128" s="824"/>
      <c r="E128" s="530">
        <f t="shared" si="6"/>
        <v>0</v>
      </c>
      <c r="F128" s="531">
        <v>0</v>
      </c>
      <c r="G128" s="531">
        <v>0</v>
      </c>
      <c r="H128" s="532">
        <v>0</v>
      </c>
      <c r="I128" s="533">
        <v>0</v>
      </c>
      <c r="J128" s="534">
        <v>0</v>
      </c>
      <c r="K128" s="535"/>
      <c r="L128" s="780"/>
      <c r="M128" s="380"/>
      <c r="N128" s="385"/>
      <c r="O128" s="386"/>
      <c r="P128" s="387"/>
      <c r="Q128" s="386"/>
      <c r="R128" s="386"/>
      <c r="S128" s="386"/>
    </row>
    <row r="129" spans="1:19" ht="11.25" customHeight="1">
      <c r="A129" s="805" t="s">
        <v>198</v>
      </c>
      <c r="B129" s="808" t="s">
        <v>196</v>
      </c>
      <c r="C129" s="411" t="s">
        <v>14</v>
      </c>
      <c r="D129" s="822">
        <f>H129+H130</f>
        <v>78077</v>
      </c>
      <c r="E129" s="412">
        <f>SUM(F129:J129)</f>
        <v>3903.85</v>
      </c>
      <c r="F129" s="413">
        <v>0</v>
      </c>
      <c r="G129" s="413">
        <v>0</v>
      </c>
      <c r="H129" s="526">
        <f>ROUND((76977+1100)*5/100,2)</f>
        <v>3903.85</v>
      </c>
      <c r="I129" s="413">
        <v>0</v>
      </c>
      <c r="J129" s="414">
        <v>0</v>
      </c>
      <c r="K129" s="525"/>
      <c r="L129" s="780"/>
      <c r="M129" s="381"/>
      <c r="N129" s="385"/>
      <c r="O129" s="386"/>
      <c r="P129" s="386"/>
      <c r="Q129" s="386"/>
      <c r="R129" s="386"/>
      <c r="S129" s="386"/>
    </row>
    <row r="130" spans="1:19" ht="11.25" customHeight="1">
      <c r="A130" s="806"/>
      <c r="B130" s="809"/>
      <c r="C130" s="416" t="s">
        <v>16</v>
      </c>
      <c r="D130" s="823"/>
      <c r="E130" s="417">
        <f>SUM(F130:J130)</f>
        <v>74173.15</v>
      </c>
      <c r="F130" s="418">
        <v>0</v>
      </c>
      <c r="G130" s="418">
        <v>0</v>
      </c>
      <c r="H130" s="527">
        <f>ROUND((76977+1100)*95/100,2)</f>
        <v>74173.15</v>
      </c>
      <c r="I130" s="418">
        <v>0</v>
      </c>
      <c r="J130" s="419">
        <v>0</v>
      </c>
      <c r="K130" s="420"/>
      <c r="L130" s="780"/>
      <c r="M130" s="381"/>
      <c r="N130" s="381"/>
      <c r="O130" s="386"/>
      <c r="P130" s="386"/>
      <c r="Q130" s="387"/>
      <c r="R130" s="386"/>
      <c r="S130" s="386"/>
    </row>
    <row r="131" spans="1:19" ht="11.25" customHeight="1" thickBot="1">
      <c r="A131" s="807"/>
      <c r="B131" s="810"/>
      <c r="C131" s="529" t="s">
        <v>17</v>
      </c>
      <c r="D131" s="824"/>
      <c r="E131" s="530">
        <f>SUM(F131:J131)</f>
        <v>0</v>
      </c>
      <c r="F131" s="531">
        <v>0</v>
      </c>
      <c r="G131" s="531">
        <v>0</v>
      </c>
      <c r="H131" s="532">
        <v>0</v>
      </c>
      <c r="I131" s="533">
        <v>0</v>
      </c>
      <c r="J131" s="534">
        <v>0</v>
      </c>
      <c r="K131" s="535"/>
      <c r="L131" s="780"/>
      <c r="M131" s="380"/>
      <c r="N131" s="380"/>
      <c r="O131" s="386"/>
      <c r="P131" s="386"/>
      <c r="Q131" s="386"/>
      <c r="R131" s="386"/>
      <c r="S131" s="386"/>
    </row>
    <row r="132" spans="1:19" ht="11.25" customHeight="1">
      <c r="A132" s="805" t="s">
        <v>199</v>
      </c>
      <c r="B132" s="808" t="s">
        <v>190</v>
      </c>
      <c r="C132" s="411" t="s">
        <v>14</v>
      </c>
      <c r="D132" s="822">
        <f>H132+H133</f>
        <v>848300.9600000001</v>
      </c>
      <c r="E132" s="412">
        <f t="shared" si="6"/>
        <v>42415.05</v>
      </c>
      <c r="F132" s="413">
        <v>0</v>
      </c>
      <c r="G132" s="413">
        <v>0</v>
      </c>
      <c r="H132" s="526">
        <f>ROUND((835935+12365.96)*5/100,2)</f>
        <v>42415.05</v>
      </c>
      <c r="I132" s="413">
        <v>0</v>
      </c>
      <c r="J132" s="414">
        <v>0</v>
      </c>
      <c r="K132" s="525"/>
      <c r="L132" s="780"/>
      <c r="M132" s="381"/>
      <c r="N132" s="381"/>
      <c r="O132" s="386"/>
      <c r="P132" s="386"/>
      <c r="Q132" s="386"/>
      <c r="R132" s="386"/>
      <c r="S132" s="386"/>
    </row>
    <row r="133" spans="1:19" ht="11.25" customHeight="1">
      <c r="A133" s="806"/>
      <c r="B133" s="809"/>
      <c r="C133" s="416" t="s">
        <v>16</v>
      </c>
      <c r="D133" s="823"/>
      <c r="E133" s="417">
        <f t="shared" si="6"/>
        <v>805885.91</v>
      </c>
      <c r="F133" s="418">
        <v>0</v>
      </c>
      <c r="G133" s="418">
        <v>0</v>
      </c>
      <c r="H133" s="527">
        <f>ROUND((835935+12365.96)*95/100,2)</f>
        <v>805885.91</v>
      </c>
      <c r="I133" s="418">
        <v>0</v>
      </c>
      <c r="J133" s="419">
        <v>0</v>
      </c>
      <c r="K133" s="420"/>
      <c r="L133" s="780"/>
      <c r="M133" s="381"/>
      <c r="N133" s="381"/>
      <c r="O133" s="386"/>
      <c r="P133" s="386"/>
      <c r="Q133" s="386"/>
      <c r="R133" s="386"/>
      <c r="S133" s="386"/>
    </row>
    <row r="134" spans="1:19" ht="11.25" customHeight="1" thickBot="1">
      <c r="A134" s="807"/>
      <c r="B134" s="810"/>
      <c r="C134" s="529" t="s">
        <v>17</v>
      </c>
      <c r="D134" s="824"/>
      <c r="E134" s="530">
        <f t="shared" si="6"/>
        <v>0</v>
      </c>
      <c r="F134" s="531">
        <v>0</v>
      </c>
      <c r="G134" s="531">
        <v>0</v>
      </c>
      <c r="H134" s="532">
        <v>0</v>
      </c>
      <c r="I134" s="533">
        <v>0</v>
      </c>
      <c r="J134" s="534">
        <v>0</v>
      </c>
      <c r="K134" s="535"/>
      <c r="L134" s="780"/>
      <c r="M134" s="380"/>
      <c r="N134" s="385"/>
      <c r="O134" s="386"/>
      <c r="P134" s="386"/>
      <c r="Q134" s="386"/>
      <c r="R134" s="386"/>
      <c r="S134" s="386"/>
    </row>
    <row r="135" spans="1:19" ht="11.25" customHeight="1">
      <c r="A135" s="805" t="s">
        <v>200</v>
      </c>
      <c r="B135" s="808" t="s">
        <v>205</v>
      </c>
      <c r="C135" s="411" t="s">
        <v>14</v>
      </c>
      <c r="D135" s="822">
        <f>H135+H136</f>
        <v>795050.86</v>
      </c>
      <c r="E135" s="536"/>
      <c r="F135" s="413">
        <v>0</v>
      </c>
      <c r="G135" s="413">
        <v>0</v>
      </c>
      <c r="H135" s="510">
        <f>ROUND((1301329.66-246582-390816.02)*5/100+3102.38,2)</f>
        <v>36298.96</v>
      </c>
      <c r="I135" s="526"/>
      <c r="J135" s="526"/>
      <c r="K135" s="447"/>
      <c r="L135" s="780"/>
      <c r="M135" s="380"/>
      <c r="N135" s="385"/>
      <c r="O135" s="386"/>
      <c r="P135" s="386"/>
      <c r="Q135" s="386"/>
      <c r="R135" s="386"/>
      <c r="S135" s="386"/>
    </row>
    <row r="136" spans="1:19" ht="11.25" customHeight="1">
      <c r="A136" s="806"/>
      <c r="B136" s="809"/>
      <c r="C136" s="416" t="s">
        <v>16</v>
      </c>
      <c r="D136" s="823"/>
      <c r="E136" s="536"/>
      <c r="F136" s="418">
        <v>0</v>
      </c>
      <c r="G136" s="418">
        <v>0</v>
      </c>
      <c r="H136" s="510">
        <f>ROUND((1301329.66-246582-390816.02)*95/100+13999.6+60312.22+53705.02,2)</f>
        <v>758751.9</v>
      </c>
      <c r="I136" s="527"/>
      <c r="J136" s="527"/>
      <c r="K136" s="451"/>
      <c r="L136" s="780"/>
      <c r="M136" s="380"/>
      <c r="N136" s="385"/>
      <c r="O136" s="386"/>
      <c r="P136" s="386"/>
      <c r="Q136" s="386"/>
      <c r="R136" s="386"/>
      <c r="S136" s="386"/>
    </row>
    <row r="137" spans="1:19" ht="11.25" customHeight="1" thickBot="1">
      <c r="A137" s="807"/>
      <c r="B137" s="810"/>
      <c r="C137" s="529" t="s">
        <v>17</v>
      </c>
      <c r="D137" s="824"/>
      <c r="E137" s="536"/>
      <c r="F137" s="531">
        <v>0</v>
      </c>
      <c r="G137" s="531">
        <v>0</v>
      </c>
      <c r="H137" s="537">
        <v>0</v>
      </c>
      <c r="I137" s="532"/>
      <c r="J137" s="532"/>
      <c r="K137" s="538"/>
      <c r="L137" s="780"/>
      <c r="M137" s="381"/>
      <c r="N137" s="385"/>
      <c r="O137" s="386"/>
      <c r="P137" s="386"/>
      <c r="Q137" s="386"/>
      <c r="R137" s="386"/>
      <c r="S137" s="386"/>
    </row>
    <row r="138" spans="1:19" ht="11.25" customHeight="1">
      <c r="A138" s="805" t="s">
        <v>206</v>
      </c>
      <c r="B138" s="808" t="s">
        <v>204</v>
      </c>
      <c r="C138" s="411" t="s">
        <v>14</v>
      </c>
      <c r="D138" s="822">
        <f>H138+H139</f>
        <v>390816.01999999996</v>
      </c>
      <c r="E138" s="536"/>
      <c r="F138" s="413">
        <v>0</v>
      </c>
      <c r="G138" s="413">
        <v>0</v>
      </c>
      <c r="H138" s="506">
        <f>ROUND((390816.02)*5/100,2)</f>
        <v>19540.8</v>
      </c>
      <c r="I138" s="526"/>
      <c r="J138" s="526"/>
      <c r="K138" s="447"/>
      <c r="L138" s="780"/>
      <c r="M138" s="380"/>
      <c r="N138" s="385"/>
      <c r="O138" s="386"/>
      <c r="P138" s="386"/>
      <c r="Q138" s="386"/>
      <c r="R138" s="386"/>
      <c r="S138" s="386"/>
    </row>
    <row r="139" spans="1:19" ht="11.25" customHeight="1">
      <c r="A139" s="806"/>
      <c r="B139" s="809"/>
      <c r="C139" s="416" t="s">
        <v>16</v>
      </c>
      <c r="D139" s="823"/>
      <c r="E139" s="536"/>
      <c r="F139" s="418">
        <v>0</v>
      </c>
      <c r="G139" s="418">
        <v>0</v>
      </c>
      <c r="H139" s="510">
        <f>ROUND((390816.02)*95/100,2)</f>
        <v>371275.22</v>
      </c>
      <c r="I139" s="527"/>
      <c r="J139" s="527"/>
      <c r="K139" s="451"/>
      <c r="L139" s="780"/>
      <c r="M139" s="380"/>
      <c r="N139" s="385"/>
      <c r="O139" s="386"/>
      <c r="P139" s="386"/>
      <c r="Q139" s="386"/>
      <c r="R139" s="386"/>
      <c r="S139" s="386"/>
    </row>
    <row r="140" spans="1:19" ht="11.25" customHeight="1" thickBot="1">
      <c r="A140" s="807"/>
      <c r="B140" s="810"/>
      <c r="C140" s="529" t="s">
        <v>17</v>
      </c>
      <c r="D140" s="824"/>
      <c r="E140" s="536"/>
      <c r="F140" s="531">
        <v>0</v>
      </c>
      <c r="G140" s="531">
        <v>0</v>
      </c>
      <c r="H140" s="537">
        <v>0</v>
      </c>
      <c r="I140" s="532"/>
      <c r="J140" s="532"/>
      <c r="K140" s="538"/>
      <c r="L140" s="780"/>
      <c r="M140" s="381"/>
      <c r="N140" s="385"/>
      <c r="O140" s="386"/>
      <c r="P140" s="386"/>
      <c r="Q140" s="386"/>
      <c r="R140" s="386"/>
      <c r="S140" s="386"/>
    </row>
    <row r="141" spans="1:19" ht="12.75" customHeight="1">
      <c r="A141" s="825"/>
      <c r="B141" s="828" t="s">
        <v>29</v>
      </c>
      <c r="C141" s="539" t="s">
        <v>14</v>
      </c>
      <c r="D141" s="831"/>
      <c r="E141" s="540">
        <f t="shared" si="6"/>
        <v>36583599.14</v>
      </c>
      <c r="F141" s="540">
        <f>F12+F21+F30+F33+F36+F51+F54+F57+F60+F63+F66+F69+F72+F75+F84+F87+F93+F96+F102+F105+F108+F111+F114+F117+F120+F123+F126+F132</f>
        <v>15851953.08</v>
      </c>
      <c r="G141" s="540">
        <f>G12+G21+G30+G33+G36+G51+G54+G57+G60+G63+G66+G69+G69+G72+G75+G84+G87+G93+G96+G102+G105+G108+G111+G114+G117+G120+G123+G126+G132</f>
        <v>11600542.059999999</v>
      </c>
      <c r="H141" s="540">
        <f>H21+H30+H33+H36+H51+H54+H57+H60+H63+H66+H69+H72+H75+H84+H87+H90+H93+H96+H102+H105+H108+H111+H114+H117+H120+H123+H126+H129+H132+H135+H138</f>
        <v>5325101.539999999</v>
      </c>
      <c r="I141" s="540">
        <f>I12+I21+I30+I33+I36+I51+I54+I57+I60+I63+I66+I69+I69+I72+I75+I84+I87+I93+I96+I102+I105+I108+I111+I114+I117+I120+I123+I126+I132</f>
        <v>3806002.46</v>
      </c>
      <c r="J141" s="540">
        <f>J12+J21+J30+J33+J36+J51+J54+J57+J60+J63+J66+J69+J69+J72+J75+J84+J87+J93+J96+J102+J105+J108+J111+J114+J117+J120+J123+J126+J132</f>
        <v>0</v>
      </c>
      <c r="K141" s="541"/>
      <c r="L141" s="780"/>
      <c r="M141" s="381"/>
      <c r="N141" s="385"/>
      <c r="O141" s="387"/>
      <c r="P141" s="387"/>
      <c r="Q141" s="387"/>
      <c r="R141" s="386"/>
      <c r="S141" s="386"/>
    </row>
    <row r="142" spans="1:19" ht="12.75" customHeight="1">
      <c r="A142" s="826"/>
      <c r="B142" s="829"/>
      <c r="C142" s="542" t="s">
        <v>16</v>
      </c>
      <c r="D142" s="832"/>
      <c r="E142" s="543">
        <f t="shared" si="6"/>
        <v>12907766.900000002</v>
      </c>
      <c r="F142" s="543">
        <f>F13+F22+F31+F34+F37+F52+F55+F58+F61+F64+F67+F70+F73+F76+F85+F88+F94+F97+F103+F106+F109+F112+F115+F118+F121+F124+F127+F133</f>
        <v>0</v>
      </c>
      <c r="G142" s="543">
        <f>G13+G22+G31+G34+G37+G52+G55+G58+G61+G64+G67+G70+G73+G76+G85+G88+G94+G97+G103+G106+G109+G112+G115+G118+G121+G124+G127+G133</f>
        <v>6133449.96</v>
      </c>
      <c r="H142" s="543">
        <f>H13+H22+H31+H34+H37+H52+H55+H58+H61+H64+H67+H70+H73+H76+H85+H88+H94+H97+H103+H106+H109+H112+H115+H118+H121+H124+H127+H130+H133+H91+H136+H139</f>
        <v>6774316.940000001</v>
      </c>
      <c r="I142" s="543">
        <f>I13+I22+I31+I34+I37+I52+I55+I58+I61+I64+I67+I70+I73+I76+I85+I88+I94+I97+I103+I106+I109+I112+I115+I118+I121+I124+I127+I133</f>
        <v>0</v>
      </c>
      <c r="J142" s="543">
        <f>J13+J22+J31+J34+J37+J52+J55+J58+J61+J64+J67+J70+J73+J76+J85+J88+J94+J97+J103+J106+J109+J112+J115+J118+J121+J124+J127+J133</f>
        <v>0</v>
      </c>
      <c r="K142" s="544"/>
      <c r="L142" s="780"/>
      <c r="M142" s="381"/>
      <c r="N142" s="385"/>
      <c r="O142" s="390"/>
      <c r="P142" s="387"/>
      <c r="Q142" s="386"/>
      <c r="R142" s="386"/>
      <c r="S142" s="386"/>
    </row>
    <row r="143" spans="1:19" ht="12.75" customHeight="1" thickBot="1">
      <c r="A143" s="827"/>
      <c r="B143" s="830"/>
      <c r="C143" s="545" t="s">
        <v>17</v>
      </c>
      <c r="D143" s="833"/>
      <c r="E143" s="546">
        <f t="shared" si="6"/>
        <v>168588975.98</v>
      </c>
      <c r="F143" s="546">
        <f>F14+F23+F32+F35+F38+F53+F56+F59+F62+F65+F68+F71+F74+F77+F86+F89+F95+F98+F104+F107+F110+F113+F116+F119+F122+F125+F128+F134</f>
        <v>3752000</v>
      </c>
      <c r="G143" s="546">
        <f>G14+G23+G32+G35+G38+G53+G56+G59+G62+G65+G68+G71+G74+G77+G86+G89+G95+G98+G104+G107+G110+G113+G116+G119+G122+G125+G128+G134</f>
        <v>83520975.97999999</v>
      </c>
      <c r="H143" s="546">
        <f>H14+H23+H32+H35+H38+H53+H56+H59+H62+H65+H68+H71+H74+H77+H86+H89+H95+H98+H104+H107+H110+H113+H116+H119+H122+H125+H128+H131+H134</f>
        <v>48752000</v>
      </c>
      <c r="I143" s="546">
        <f>I14+I23+I32+I35+I38+I53+I56+I59+I62+I65+I68+I71+I74+I77+I86+I89+I95+I98+I104+I107+I110+I113+I116+I119+I122+I125+I128+I134</f>
        <v>32564000</v>
      </c>
      <c r="J143" s="546">
        <f>J14+J23+J32+J35+J38+J53+J56+J59+J62+J65+J68+J71+J74+J77+J86+J89+J95+J98+J104+J107+J110+J113+J116+J119+J122+J125+J128+J134</f>
        <v>0</v>
      </c>
      <c r="K143" s="547"/>
      <c r="L143" s="780"/>
      <c r="M143" s="381"/>
      <c r="N143" s="385"/>
      <c r="O143" s="387"/>
      <c r="P143" s="387"/>
      <c r="Q143" s="387"/>
      <c r="R143" s="386"/>
      <c r="S143" s="386"/>
    </row>
    <row r="144" spans="1:19" ht="12.75" customHeight="1" thickBot="1">
      <c r="A144" s="548"/>
      <c r="B144" s="549"/>
      <c r="C144" s="550"/>
      <c r="D144" s="551"/>
      <c r="E144" s="552"/>
      <c r="F144" s="550"/>
      <c r="G144" s="550"/>
      <c r="H144" s="550"/>
      <c r="I144" s="550"/>
      <c r="J144" s="553"/>
      <c r="K144" s="554"/>
      <c r="L144" s="780"/>
      <c r="M144" s="380"/>
      <c r="N144" s="391"/>
      <c r="O144" s="386"/>
      <c r="P144" s="387"/>
      <c r="Q144" s="386"/>
      <c r="R144" s="386"/>
      <c r="S144" s="386"/>
    </row>
    <row r="145" spans="1:19" ht="16.5" customHeight="1" thickBot="1">
      <c r="A145" s="834" t="s">
        <v>30</v>
      </c>
      <c r="B145" s="834"/>
      <c r="C145" s="834"/>
      <c r="D145" s="834"/>
      <c r="E145" s="834"/>
      <c r="F145" s="834"/>
      <c r="G145" s="834"/>
      <c r="H145" s="834"/>
      <c r="I145" s="834"/>
      <c r="J145" s="834"/>
      <c r="K145" s="555"/>
      <c r="L145" s="780"/>
      <c r="M145" s="381"/>
      <c r="N145" s="391"/>
      <c r="O145" s="386"/>
      <c r="P145" s="386"/>
      <c r="Q145" s="387"/>
      <c r="R145" s="386"/>
      <c r="S145" s="386"/>
    </row>
    <row r="146" spans="1:19" s="66" customFormat="1" ht="17.25" customHeight="1">
      <c r="A146" s="781" t="s">
        <v>207</v>
      </c>
      <c r="B146" s="784" t="s">
        <v>97</v>
      </c>
      <c r="C146" s="411" t="s">
        <v>14</v>
      </c>
      <c r="D146" s="787">
        <f>E146+E147+E148</f>
        <v>30809092.020000003</v>
      </c>
      <c r="E146" s="412">
        <f aca="true" t="shared" si="7" ref="E146:E160">SUM(F146:J146)</f>
        <v>29759592.020000003</v>
      </c>
      <c r="F146" s="413">
        <f>100000+11489726.59+933960.56</f>
        <v>12523687.15</v>
      </c>
      <c r="G146" s="413">
        <f>12568687.15+867217.72</f>
        <v>13435904.870000001</v>
      </c>
      <c r="H146" s="413">
        <v>0</v>
      </c>
      <c r="I146" s="413">
        <v>0</v>
      </c>
      <c r="J146" s="414">
        <f>J149+J152+J155+J158</f>
        <v>3800000</v>
      </c>
      <c r="K146" s="415"/>
      <c r="L146" s="780"/>
      <c r="M146" s="381"/>
      <c r="N146" s="392"/>
      <c r="O146" s="393"/>
      <c r="P146" s="392"/>
      <c r="Q146" s="393"/>
      <c r="R146" s="393"/>
      <c r="S146" s="393"/>
    </row>
    <row r="147" spans="1:16" s="66" customFormat="1" ht="17.25" customHeight="1">
      <c r="A147" s="782"/>
      <c r="B147" s="785"/>
      <c r="C147" s="416" t="s">
        <v>16</v>
      </c>
      <c r="D147" s="788"/>
      <c r="E147" s="417">
        <f t="shared" si="7"/>
        <v>1049500</v>
      </c>
      <c r="F147" s="418">
        <f>F150+F153+F156+F159</f>
        <v>0</v>
      </c>
      <c r="G147" s="418">
        <f aca="true" t="shared" si="8" ref="F147:J148">G150+G153+G156+G159</f>
        <v>1049500</v>
      </c>
      <c r="H147" s="418">
        <f t="shared" si="8"/>
        <v>0</v>
      </c>
      <c r="I147" s="418">
        <f t="shared" si="8"/>
        <v>0</v>
      </c>
      <c r="J147" s="419">
        <f t="shared" si="8"/>
        <v>0</v>
      </c>
      <c r="K147" s="420"/>
      <c r="L147" s="780"/>
      <c r="M147" s="339"/>
      <c r="P147" s="384"/>
    </row>
    <row r="148" spans="1:16" s="66" customFormat="1" ht="14.25" customHeight="1" thickBot="1">
      <c r="A148" s="783"/>
      <c r="B148" s="786"/>
      <c r="C148" s="421" t="s">
        <v>17</v>
      </c>
      <c r="D148" s="789"/>
      <c r="E148" s="422">
        <f t="shared" si="7"/>
        <v>0</v>
      </c>
      <c r="F148" s="418">
        <f t="shared" si="8"/>
        <v>0</v>
      </c>
      <c r="G148" s="418">
        <f t="shared" si="8"/>
        <v>0</v>
      </c>
      <c r="H148" s="418">
        <f t="shared" si="8"/>
        <v>0</v>
      </c>
      <c r="I148" s="418">
        <f t="shared" si="8"/>
        <v>0</v>
      </c>
      <c r="J148" s="419">
        <f t="shared" si="8"/>
        <v>0</v>
      </c>
      <c r="K148" s="425"/>
      <c r="L148" s="780"/>
      <c r="M148" s="339"/>
      <c r="N148" s="262"/>
      <c r="P148" s="384"/>
    </row>
    <row r="149" spans="1:13" s="108" customFormat="1" ht="17.25" customHeight="1" hidden="1">
      <c r="A149" s="790"/>
      <c r="B149" s="802" t="s">
        <v>93</v>
      </c>
      <c r="C149" s="426" t="s">
        <v>14</v>
      </c>
      <c r="D149" s="835">
        <f>E149+E150+E151</f>
        <v>4659802.46</v>
      </c>
      <c r="E149" s="428">
        <f t="shared" si="7"/>
        <v>4659802.46</v>
      </c>
      <c r="F149" s="428">
        <v>100000</v>
      </c>
      <c r="G149" s="428">
        <v>0</v>
      </c>
      <c r="H149" s="428">
        <v>0</v>
      </c>
      <c r="I149" s="428">
        <f>513102.46-5213.03+251913.03</f>
        <v>759802.46</v>
      </c>
      <c r="J149" s="440">
        <v>3800000</v>
      </c>
      <c r="K149" s="441"/>
      <c r="L149" s="780"/>
      <c r="M149" s="339"/>
    </row>
    <row r="150" spans="1:15" s="108" customFormat="1" ht="17.25" customHeight="1" hidden="1">
      <c r="A150" s="791"/>
      <c r="B150" s="803"/>
      <c r="C150" s="431" t="s">
        <v>16</v>
      </c>
      <c r="D150" s="836"/>
      <c r="E150" s="433">
        <f t="shared" si="7"/>
        <v>0</v>
      </c>
      <c r="F150" s="433">
        <v>0</v>
      </c>
      <c r="G150" s="433">
        <v>0</v>
      </c>
      <c r="H150" s="433">
        <v>0</v>
      </c>
      <c r="I150" s="433">
        <v>0</v>
      </c>
      <c r="J150" s="556">
        <v>0</v>
      </c>
      <c r="K150" s="557"/>
      <c r="L150" s="780"/>
      <c r="M150" s="339"/>
      <c r="O150" s="109"/>
    </row>
    <row r="151" spans="1:13" s="108" customFormat="1" ht="17.25" customHeight="1" hidden="1">
      <c r="A151" s="792"/>
      <c r="B151" s="804"/>
      <c r="C151" s="558" t="s">
        <v>17</v>
      </c>
      <c r="D151" s="837"/>
      <c r="E151" s="437">
        <f t="shared" si="7"/>
        <v>0</v>
      </c>
      <c r="F151" s="437">
        <v>0</v>
      </c>
      <c r="G151" s="437">
        <v>0</v>
      </c>
      <c r="H151" s="437">
        <v>0</v>
      </c>
      <c r="I151" s="437">
        <v>0</v>
      </c>
      <c r="J151" s="559">
        <v>0</v>
      </c>
      <c r="K151" s="560"/>
      <c r="L151" s="780"/>
      <c r="M151" s="339"/>
    </row>
    <row r="152" spans="1:13" s="108" customFormat="1" ht="17.25" customHeight="1" hidden="1">
      <c r="A152" s="790"/>
      <c r="B152" s="802" t="s">
        <v>94</v>
      </c>
      <c r="C152" s="426" t="s">
        <v>14</v>
      </c>
      <c r="D152" s="838">
        <f>E152+E153+E154</f>
        <v>25975131.46</v>
      </c>
      <c r="E152" s="428">
        <f t="shared" si="7"/>
        <v>24925631.46</v>
      </c>
      <c r="F152" s="428">
        <v>11489726.59</v>
      </c>
      <c r="G152" s="428">
        <v>13435904.87</v>
      </c>
      <c r="H152" s="428">
        <v>0</v>
      </c>
      <c r="I152" s="428">
        <v>0</v>
      </c>
      <c r="J152" s="440">
        <v>0</v>
      </c>
      <c r="K152" s="441"/>
      <c r="L152" s="780"/>
      <c r="M152" s="339"/>
    </row>
    <row r="153" spans="1:13" s="108" customFormat="1" ht="17.25" customHeight="1" hidden="1">
      <c r="A153" s="791"/>
      <c r="B153" s="803"/>
      <c r="C153" s="431" t="s">
        <v>16</v>
      </c>
      <c r="D153" s="839"/>
      <c r="E153" s="433">
        <f t="shared" si="7"/>
        <v>1049500</v>
      </c>
      <c r="F153" s="433">
        <v>0</v>
      </c>
      <c r="G153" s="433">
        <v>1049500</v>
      </c>
      <c r="H153" s="433">
        <v>0</v>
      </c>
      <c r="I153" s="433">
        <v>0</v>
      </c>
      <c r="J153" s="556">
        <v>0</v>
      </c>
      <c r="K153" s="557"/>
      <c r="L153" s="780"/>
      <c r="M153" s="339"/>
    </row>
    <row r="154" spans="1:13" s="108" customFormat="1" ht="17.25" customHeight="1" hidden="1">
      <c r="A154" s="792"/>
      <c r="B154" s="804"/>
      <c r="C154" s="558" t="s">
        <v>17</v>
      </c>
      <c r="D154" s="840"/>
      <c r="E154" s="437">
        <f t="shared" si="7"/>
        <v>0</v>
      </c>
      <c r="F154" s="437">
        <v>0</v>
      </c>
      <c r="G154" s="437">
        <v>0</v>
      </c>
      <c r="H154" s="437">
        <v>0</v>
      </c>
      <c r="I154" s="437">
        <v>0</v>
      </c>
      <c r="J154" s="559">
        <v>0</v>
      </c>
      <c r="K154" s="560"/>
      <c r="L154" s="780"/>
      <c r="M154" s="339"/>
    </row>
    <row r="155" spans="1:13" s="108" customFormat="1" ht="17.25" customHeight="1" hidden="1">
      <c r="A155" s="790"/>
      <c r="B155" s="802" t="s">
        <v>95</v>
      </c>
      <c r="C155" s="426" t="s">
        <v>14</v>
      </c>
      <c r="D155" s="835">
        <f>E155+E156+E157</f>
        <v>0</v>
      </c>
      <c r="E155" s="433">
        <f t="shared" si="7"/>
        <v>0</v>
      </c>
      <c r="F155" s="428">
        <v>0</v>
      </c>
      <c r="G155" s="428">
        <v>0</v>
      </c>
      <c r="H155" s="428">
        <v>0</v>
      </c>
      <c r="I155" s="428">
        <v>0</v>
      </c>
      <c r="J155" s="440">
        <v>0</v>
      </c>
      <c r="K155" s="441"/>
      <c r="L155" s="780"/>
      <c r="M155" s="339"/>
    </row>
    <row r="156" spans="1:13" s="108" customFormat="1" ht="17.25" customHeight="1" hidden="1">
      <c r="A156" s="791"/>
      <c r="B156" s="803"/>
      <c r="C156" s="431" t="s">
        <v>16</v>
      </c>
      <c r="D156" s="836"/>
      <c r="E156" s="433">
        <f t="shared" si="7"/>
        <v>0</v>
      </c>
      <c r="F156" s="433">
        <v>0</v>
      </c>
      <c r="G156" s="433">
        <v>0</v>
      </c>
      <c r="H156" s="433">
        <v>0</v>
      </c>
      <c r="I156" s="433">
        <v>0</v>
      </c>
      <c r="J156" s="556">
        <v>0</v>
      </c>
      <c r="K156" s="557"/>
      <c r="L156" s="780"/>
      <c r="M156" s="339"/>
    </row>
    <row r="157" spans="1:13" s="108" customFormat="1" ht="17.25" customHeight="1" hidden="1">
      <c r="A157" s="792"/>
      <c r="B157" s="804"/>
      <c r="C157" s="558" t="s">
        <v>17</v>
      </c>
      <c r="D157" s="837"/>
      <c r="E157" s="433">
        <f t="shared" si="7"/>
        <v>0</v>
      </c>
      <c r="F157" s="437">
        <v>0</v>
      </c>
      <c r="G157" s="437">
        <v>0</v>
      </c>
      <c r="H157" s="437">
        <v>0</v>
      </c>
      <c r="I157" s="437">
        <v>0</v>
      </c>
      <c r="J157" s="559">
        <v>0</v>
      </c>
      <c r="K157" s="560"/>
      <c r="L157" s="780"/>
      <c r="M157" s="339"/>
    </row>
    <row r="158" spans="1:13" s="108" customFormat="1" ht="17.25" customHeight="1" hidden="1">
      <c r="A158" s="790"/>
      <c r="B158" s="802" t="s">
        <v>96</v>
      </c>
      <c r="C158" s="426" t="s">
        <v>14</v>
      </c>
      <c r="D158" s="835">
        <f>E158+E159+E160</f>
        <v>0</v>
      </c>
      <c r="E158" s="428">
        <f t="shared" si="7"/>
        <v>0</v>
      </c>
      <c r="F158" s="428">
        <v>0</v>
      </c>
      <c r="G158" s="428">
        <v>0</v>
      </c>
      <c r="H158" s="428">
        <v>0</v>
      </c>
      <c r="I158" s="428">
        <v>0</v>
      </c>
      <c r="J158" s="440">
        <v>0</v>
      </c>
      <c r="K158" s="441"/>
      <c r="L158" s="780"/>
      <c r="M158" s="339"/>
    </row>
    <row r="159" spans="1:13" s="108" customFormat="1" ht="17.25" customHeight="1" hidden="1">
      <c r="A159" s="791"/>
      <c r="B159" s="803"/>
      <c r="C159" s="431" t="s">
        <v>16</v>
      </c>
      <c r="D159" s="836"/>
      <c r="E159" s="433">
        <f t="shared" si="7"/>
        <v>0</v>
      </c>
      <c r="F159" s="433">
        <v>0</v>
      </c>
      <c r="G159" s="433">
        <v>0</v>
      </c>
      <c r="H159" s="433">
        <v>0</v>
      </c>
      <c r="I159" s="433">
        <v>0</v>
      </c>
      <c r="J159" s="556">
        <v>0</v>
      </c>
      <c r="K159" s="557"/>
      <c r="L159" s="780"/>
      <c r="M159" s="339"/>
    </row>
    <row r="160" spans="1:13" s="108" customFormat="1" ht="17.25" customHeight="1" hidden="1">
      <c r="A160" s="792"/>
      <c r="B160" s="804"/>
      <c r="C160" s="558" t="s">
        <v>17</v>
      </c>
      <c r="D160" s="837"/>
      <c r="E160" s="437">
        <f t="shared" si="7"/>
        <v>0</v>
      </c>
      <c r="F160" s="437">
        <v>0</v>
      </c>
      <c r="G160" s="437">
        <v>0</v>
      </c>
      <c r="H160" s="437">
        <v>0</v>
      </c>
      <c r="I160" s="437">
        <v>0</v>
      </c>
      <c r="J160" s="559">
        <v>0</v>
      </c>
      <c r="K160" s="560"/>
      <c r="L160" s="780"/>
      <c r="M160" s="339"/>
    </row>
    <row r="161" spans="1:13" s="66" customFormat="1" ht="17.25" customHeight="1">
      <c r="A161" s="825"/>
      <c r="B161" s="828" t="s">
        <v>47</v>
      </c>
      <c r="C161" s="539" t="s">
        <v>14</v>
      </c>
      <c r="D161" s="831"/>
      <c r="E161" s="540">
        <f aca="true" t="shared" si="9" ref="E161:J163">E146</f>
        <v>29759592.020000003</v>
      </c>
      <c r="F161" s="540">
        <f t="shared" si="9"/>
        <v>12523687.15</v>
      </c>
      <c r="G161" s="540">
        <f t="shared" si="9"/>
        <v>13435904.870000001</v>
      </c>
      <c r="H161" s="540">
        <v>0</v>
      </c>
      <c r="I161" s="540">
        <f t="shared" si="9"/>
        <v>0</v>
      </c>
      <c r="J161" s="561">
        <f t="shared" si="9"/>
        <v>3800000</v>
      </c>
      <c r="K161" s="541"/>
      <c r="L161" s="780"/>
      <c r="M161" s="339"/>
    </row>
    <row r="162" spans="1:15" s="66" customFormat="1" ht="17.25" customHeight="1">
      <c r="A162" s="826"/>
      <c r="B162" s="829"/>
      <c r="C162" s="542" t="s">
        <v>16</v>
      </c>
      <c r="D162" s="832"/>
      <c r="E162" s="543">
        <f t="shared" si="9"/>
        <v>1049500</v>
      </c>
      <c r="F162" s="543">
        <f t="shared" si="9"/>
        <v>0</v>
      </c>
      <c r="G162" s="543">
        <f t="shared" si="9"/>
        <v>1049500</v>
      </c>
      <c r="H162" s="543">
        <f t="shared" si="9"/>
        <v>0</v>
      </c>
      <c r="I162" s="543">
        <f t="shared" si="9"/>
        <v>0</v>
      </c>
      <c r="J162" s="562">
        <f t="shared" si="9"/>
        <v>0</v>
      </c>
      <c r="K162" s="544"/>
      <c r="L162" s="780"/>
      <c r="M162" s="339"/>
      <c r="N162" s="262"/>
      <c r="O162" s="262"/>
    </row>
    <row r="163" spans="1:13" s="66" customFormat="1" ht="16.5" customHeight="1" thickBot="1">
      <c r="A163" s="827"/>
      <c r="B163" s="830"/>
      <c r="C163" s="545" t="s">
        <v>17</v>
      </c>
      <c r="D163" s="833"/>
      <c r="E163" s="546">
        <f t="shared" si="9"/>
        <v>0</v>
      </c>
      <c r="F163" s="546">
        <f t="shared" si="9"/>
        <v>0</v>
      </c>
      <c r="G163" s="546">
        <f t="shared" si="9"/>
        <v>0</v>
      </c>
      <c r="H163" s="546">
        <f t="shared" si="9"/>
        <v>0</v>
      </c>
      <c r="I163" s="546">
        <f t="shared" si="9"/>
        <v>0</v>
      </c>
      <c r="J163" s="546">
        <f t="shared" si="9"/>
        <v>0</v>
      </c>
      <c r="K163" s="547"/>
      <c r="L163" s="780"/>
      <c r="M163" s="339"/>
    </row>
    <row r="164" spans="1:13" ht="17.25" customHeight="1" hidden="1">
      <c r="A164" s="841"/>
      <c r="B164" s="808"/>
      <c r="C164" s="563"/>
      <c r="D164" s="845"/>
      <c r="E164" s="563"/>
      <c r="F164" s="563"/>
      <c r="G164" s="563"/>
      <c r="H164" s="563"/>
      <c r="I164" s="563"/>
      <c r="J164" s="563"/>
      <c r="K164" s="564"/>
      <c r="L164" s="780"/>
      <c r="M164" s="339"/>
    </row>
    <row r="165" spans="1:13" ht="17.25" customHeight="1" hidden="1">
      <c r="A165" s="842"/>
      <c r="B165" s="809"/>
      <c r="C165" s="565"/>
      <c r="D165" s="846"/>
      <c r="E165" s="565"/>
      <c r="F165" s="565"/>
      <c r="G165" s="565"/>
      <c r="H165" s="565"/>
      <c r="I165" s="565"/>
      <c r="J165" s="565"/>
      <c r="K165" s="564"/>
      <c r="L165" s="780"/>
      <c r="M165" s="339"/>
    </row>
    <row r="166" spans="1:13" ht="17.25" customHeight="1" hidden="1">
      <c r="A166" s="843"/>
      <c r="B166" s="844"/>
      <c r="C166" s="566"/>
      <c r="D166" s="847"/>
      <c r="E166" s="566"/>
      <c r="F166" s="566"/>
      <c r="G166" s="566"/>
      <c r="H166" s="566"/>
      <c r="I166" s="566"/>
      <c r="J166" s="566"/>
      <c r="K166" s="567"/>
      <c r="L166" s="780"/>
      <c r="M166" s="339"/>
    </row>
    <row r="167" spans="1:13" ht="17.25" customHeight="1" hidden="1">
      <c r="A167" s="568"/>
      <c r="B167" s="569"/>
      <c r="C167" s="565"/>
      <c r="D167" s="570"/>
      <c r="E167" s="565"/>
      <c r="F167" s="565"/>
      <c r="G167" s="565"/>
      <c r="H167" s="565"/>
      <c r="I167" s="565"/>
      <c r="J167" s="565"/>
      <c r="K167" s="564"/>
      <c r="L167" s="780"/>
      <c r="M167" s="339"/>
    </row>
    <row r="168" spans="1:13" ht="18" customHeight="1" thickBot="1">
      <c r="A168" s="848" t="s">
        <v>48</v>
      </c>
      <c r="B168" s="849"/>
      <c r="C168" s="849"/>
      <c r="D168" s="849"/>
      <c r="E168" s="849"/>
      <c r="F168" s="849"/>
      <c r="G168" s="849"/>
      <c r="H168" s="849"/>
      <c r="I168" s="849"/>
      <c r="J168" s="850"/>
      <c r="K168" s="555"/>
      <c r="L168" s="780"/>
      <c r="M168" s="339"/>
    </row>
    <row r="169" spans="1:13" ht="15" customHeight="1">
      <c r="A169" s="781" t="s">
        <v>208</v>
      </c>
      <c r="B169" s="784" t="s">
        <v>49</v>
      </c>
      <c r="C169" s="411" t="s">
        <v>14</v>
      </c>
      <c r="D169" s="851">
        <v>450000</v>
      </c>
      <c r="E169" s="413">
        <f aca="true" t="shared" si="10" ref="E169:E232">SUM(F169:J169)</f>
        <v>45899.6</v>
      </c>
      <c r="F169" s="418">
        <f>45000+899.6</f>
        <v>45899.6</v>
      </c>
      <c r="G169" s="411">
        <v>0</v>
      </c>
      <c r="H169" s="411">
        <v>0</v>
      </c>
      <c r="I169" s="411">
        <v>0</v>
      </c>
      <c r="J169" s="571">
        <v>0</v>
      </c>
      <c r="K169" s="799" t="s">
        <v>129</v>
      </c>
      <c r="L169" s="780"/>
      <c r="M169" s="339"/>
    </row>
    <row r="170" spans="1:13" ht="15" customHeight="1">
      <c r="A170" s="782"/>
      <c r="B170" s="785"/>
      <c r="C170" s="416" t="s">
        <v>16</v>
      </c>
      <c r="D170" s="852"/>
      <c r="E170" s="418">
        <f t="shared" si="10"/>
        <v>405000</v>
      </c>
      <c r="F170" s="418">
        <f>405000</f>
        <v>405000</v>
      </c>
      <c r="G170" s="416">
        <v>0</v>
      </c>
      <c r="H170" s="416">
        <v>0</v>
      </c>
      <c r="I170" s="416">
        <v>0</v>
      </c>
      <c r="J170" s="572">
        <v>0</v>
      </c>
      <c r="K170" s="800"/>
      <c r="L170" s="780"/>
      <c r="M170" s="339"/>
    </row>
    <row r="171" spans="1:13" ht="15" customHeight="1" thickBot="1">
      <c r="A171" s="783"/>
      <c r="B171" s="786"/>
      <c r="C171" s="421" t="s">
        <v>17</v>
      </c>
      <c r="D171" s="853"/>
      <c r="E171" s="418">
        <v>0</v>
      </c>
      <c r="F171" s="423">
        <v>0</v>
      </c>
      <c r="G171" s="421" t="s">
        <v>182</v>
      </c>
      <c r="H171" s="421">
        <v>0</v>
      </c>
      <c r="I171" s="421">
        <v>0</v>
      </c>
      <c r="J171" s="573">
        <v>0</v>
      </c>
      <c r="K171" s="800"/>
      <c r="L171" s="780"/>
      <c r="M171" s="339"/>
    </row>
    <row r="172" spans="1:13" ht="15" customHeight="1">
      <c r="A172" s="781" t="s">
        <v>209</v>
      </c>
      <c r="B172" s="784" t="s">
        <v>130</v>
      </c>
      <c r="C172" s="411" t="s">
        <v>14</v>
      </c>
      <c r="D172" s="851">
        <f>D175+D178+D181+D184+D187+D190</f>
        <v>41563500</v>
      </c>
      <c r="E172" s="411">
        <f t="shared" si="10"/>
        <v>0</v>
      </c>
      <c r="F172" s="411">
        <f aca="true" t="shared" si="11" ref="F172:J174">F175+F178+F181+F184+F187+F190</f>
        <v>0</v>
      </c>
      <c r="G172" s="411">
        <f t="shared" si="11"/>
        <v>0</v>
      </c>
      <c r="H172" s="411">
        <f t="shared" si="11"/>
        <v>0</v>
      </c>
      <c r="I172" s="411">
        <f t="shared" si="11"/>
        <v>0</v>
      </c>
      <c r="J172" s="571">
        <f t="shared" si="11"/>
        <v>0</v>
      </c>
      <c r="K172" s="800"/>
      <c r="L172" s="780"/>
      <c r="M172" s="339"/>
    </row>
    <row r="173" spans="1:13" ht="15" customHeight="1">
      <c r="A173" s="782"/>
      <c r="B173" s="785"/>
      <c r="C173" s="416" t="s">
        <v>16</v>
      </c>
      <c r="D173" s="852"/>
      <c r="E173" s="416">
        <f t="shared" si="10"/>
        <v>0</v>
      </c>
      <c r="F173" s="416">
        <f t="shared" si="11"/>
        <v>0</v>
      </c>
      <c r="G173" s="416">
        <f t="shared" si="11"/>
        <v>0</v>
      </c>
      <c r="H173" s="416">
        <f t="shared" si="11"/>
        <v>0</v>
      </c>
      <c r="I173" s="416">
        <f t="shared" si="11"/>
        <v>0</v>
      </c>
      <c r="J173" s="416">
        <f t="shared" si="11"/>
        <v>0</v>
      </c>
      <c r="K173" s="800"/>
      <c r="L173" s="780"/>
      <c r="M173" s="339"/>
    </row>
    <row r="174" spans="1:13" ht="15" customHeight="1" thickBot="1">
      <c r="A174" s="783"/>
      <c r="B174" s="786"/>
      <c r="C174" s="421" t="s">
        <v>17</v>
      </c>
      <c r="D174" s="853"/>
      <c r="E174" s="421">
        <f t="shared" si="10"/>
        <v>0</v>
      </c>
      <c r="F174" s="421">
        <f t="shared" si="11"/>
        <v>0</v>
      </c>
      <c r="G174" s="421">
        <f t="shared" si="11"/>
        <v>0</v>
      </c>
      <c r="H174" s="421">
        <f t="shared" si="11"/>
        <v>0</v>
      </c>
      <c r="I174" s="421">
        <f t="shared" si="11"/>
        <v>0</v>
      </c>
      <c r="J174" s="421">
        <f t="shared" si="11"/>
        <v>0</v>
      </c>
      <c r="K174" s="800"/>
      <c r="L174" s="780"/>
      <c r="M174" s="339"/>
    </row>
    <row r="175" spans="1:13" ht="13.5" customHeight="1" hidden="1">
      <c r="A175" s="854"/>
      <c r="B175" s="854" t="s">
        <v>98</v>
      </c>
      <c r="C175" s="444" t="s">
        <v>14</v>
      </c>
      <c r="D175" s="857">
        <v>2601500</v>
      </c>
      <c r="E175" s="444">
        <f t="shared" si="10"/>
        <v>0</v>
      </c>
      <c r="F175" s="444">
        <v>0</v>
      </c>
      <c r="G175" s="444">
        <v>0</v>
      </c>
      <c r="H175" s="444">
        <v>0</v>
      </c>
      <c r="I175" s="444">
        <v>0</v>
      </c>
      <c r="J175" s="574">
        <v>0</v>
      </c>
      <c r="K175" s="800"/>
      <c r="L175" s="780"/>
      <c r="M175" s="339"/>
    </row>
    <row r="176" spans="1:13" ht="13.5" customHeight="1" hidden="1">
      <c r="A176" s="855"/>
      <c r="B176" s="855"/>
      <c r="C176" s="448" t="s">
        <v>16</v>
      </c>
      <c r="D176" s="858"/>
      <c r="E176" s="448">
        <f t="shared" si="10"/>
        <v>0</v>
      </c>
      <c r="F176" s="448">
        <v>0</v>
      </c>
      <c r="G176" s="448">
        <v>0</v>
      </c>
      <c r="H176" s="448">
        <v>0</v>
      </c>
      <c r="I176" s="448">
        <v>0</v>
      </c>
      <c r="J176" s="575">
        <v>0</v>
      </c>
      <c r="K176" s="800"/>
      <c r="L176" s="780"/>
      <c r="M176" s="339"/>
    </row>
    <row r="177" spans="1:13" ht="13.5" customHeight="1" hidden="1">
      <c r="A177" s="856"/>
      <c r="B177" s="856"/>
      <c r="C177" s="452" t="s">
        <v>17</v>
      </c>
      <c r="D177" s="859"/>
      <c r="E177" s="576">
        <f t="shared" si="10"/>
        <v>0</v>
      </c>
      <c r="F177" s="452">
        <v>0</v>
      </c>
      <c r="G177" s="452" t="s">
        <v>182</v>
      </c>
      <c r="H177" s="452">
        <v>0</v>
      </c>
      <c r="I177" s="452">
        <v>0</v>
      </c>
      <c r="J177" s="577">
        <v>0</v>
      </c>
      <c r="K177" s="800"/>
      <c r="L177" s="780"/>
      <c r="M177" s="339"/>
    </row>
    <row r="178" spans="1:13" ht="13.5" customHeight="1" hidden="1">
      <c r="A178" s="854"/>
      <c r="B178" s="854" t="s">
        <v>99</v>
      </c>
      <c r="C178" s="444" t="s">
        <v>14</v>
      </c>
      <c r="D178" s="860" t="s">
        <v>145</v>
      </c>
      <c r="E178" s="444">
        <f t="shared" si="10"/>
        <v>0</v>
      </c>
      <c r="F178" s="444">
        <v>0</v>
      </c>
      <c r="G178" s="444">
        <v>0</v>
      </c>
      <c r="H178" s="444">
        <v>0</v>
      </c>
      <c r="I178" s="444">
        <v>0</v>
      </c>
      <c r="J178" s="574">
        <v>0</v>
      </c>
      <c r="K178" s="800"/>
      <c r="L178" s="780"/>
      <c r="M178" s="339"/>
    </row>
    <row r="179" spans="1:13" ht="13.5" customHeight="1" hidden="1">
      <c r="A179" s="855"/>
      <c r="B179" s="855"/>
      <c r="C179" s="448" t="s">
        <v>16</v>
      </c>
      <c r="D179" s="861"/>
      <c r="E179" s="448">
        <f t="shared" si="10"/>
        <v>0</v>
      </c>
      <c r="F179" s="448">
        <v>0</v>
      </c>
      <c r="G179" s="448">
        <v>0</v>
      </c>
      <c r="H179" s="448">
        <v>0</v>
      </c>
      <c r="I179" s="448">
        <v>0</v>
      </c>
      <c r="J179" s="575">
        <v>0</v>
      </c>
      <c r="K179" s="800"/>
      <c r="L179" s="780"/>
      <c r="M179" s="339"/>
    </row>
    <row r="180" spans="1:13" ht="13.5" customHeight="1" hidden="1">
      <c r="A180" s="856"/>
      <c r="B180" s="856"/>
      <c r="C180" s="452" t="s">
        <v>17</v>
      </c>
      <c r="D180" s="862"/>
      <c r="E180" s="452">
        <f t="shared" si="10"/>
        <v>0</v>
      </c>
      <c r="F180" s="452">
        <v>0</v>
      </c>
      <c r="G180" s="452">
        <v>0</v>
      </c>
      <c r="H180" s="452">
        <v>0</v>
      </c>
      <c r="I180" s="452">
        <v>0</v>
      </c>
      <c r="J180" s="577">
        <v>0</v>
      </c>
      <c r="K180" s="800"/>
      <c r="L180" s="780"/>
      <c r="M180" s="339"/>
    </row>
    <row r="181" spans="1:13" ht="13.5" customHeight="1" hidden="1">
      <c r="A181" s="854"/>
      <c r="B181" s="854" t="s">
        <v>100</v>
      </c>
      <c r="C181" s="444" t="s">
        <v>14</v>
      </c>
      <c r="D181" s="860" t="s">
        <v>144</v>
      </c>
      <c r="E181" s="444">
        <f t="shared" si="10"/>
        <v>0</v>
      </c>
      <c r="F181" s="444">
        <v>0</v>
      </c>
      <c r="G181" s="444">
        <v>0</v>
      </c>
      <c r="H181" s="444">
        <v>0</v>
      </c>
      <c r="I181" s="444">
        <v>0</v>
      </c>
      <c r="J181" s="574">
        <v>0</v>
      </c>
      <c r="K181" s="800"/>
      <c r="L181" s="780"/>
      <c r="M181" s="339"/>
    </row>
    <row r="182" spans="1:13" ht="13.5" customHeight="1" hidden="1">
      <c r="A182" s="855"/>
      <c r="B182" s="855"/>
      <c r="C182" s="448" t="s">
        <v>16</v>
      </c>
      <c r="D182" s="861"/>
      <c r="E182" s="448">
        <f t="shared" si="10"/>
        <v>0</v>
      </c>
      <c r="F182" s="448">
        <v>0</v>
      </c>
      <c r="G182" s="448">
        <v>0</v>
      </c>
      <c r="H182" s="448">
        <v>0</v>
      </c>
      <c r="I182" s="448">
        <v>0</v>
      </c>
      <c r="J182" s="575">
        <v>0</v>
      </c>
      <c r="K182" s="800"/>
      <c r="L182" s="780"/>
      <c r="M182" s="339"/>
    </row>
    <row r="183" spans="1:13" ht="12" customHeight="1" hidden="1">
      <c r="A183" s="856"/>
      <c r="B183" s="856"/>
      <c r="C183" s="452" t="s">
        <v>17</v>
      </c>
      <c r="D183" s="862"/>
      <c r="E183" s="452">
        <f t="shared" si="10"/>
        <v>0</v>
      </c>
      <c r="F183" s="452">
        <v>0</v>
      </c>
      <c r="G183" s="452">
        <v>0</v>
      </c>
      <c r="H183" s="452">
        <v>0</v>
      </c>
      <c r="I183" s="452">
        <v>0</v>
      </c>
      <c r="J183" s="577">
        <v>0</v>
      </c>
      <c r="K183" s="800"/>
      <c r="L183" s="780"/>
      <c r="M183" s="339"/>
    </row>
    <row r="184" spans="1:14" ht="13.5" customHeight="1" hidden="1">
      <c r="A184" s="854"/>
      <c r="B184" s="854" t="s">
        <v>103</v>
      </c>
      <c r="C184" s="444" t="s">
        <v>14</v>
      </c>
      <c r="D184" s="860" t="s">
        <v>143</v>
      </c>
      <c r="E184" s="444">
        <f t="shared" si="10"/>
        <v>0</v>
      </c>
      <c r="F184" s="444">
        <v>0</v>
      </c>
      <c r="G184" s="444">
        <v>0</v>
      </c>
      <c r="H184" s="444">
        <v>0</v>
      </c>
      <c r="I184" s="444">
        <v>0</v>
      </c>
      <c r="J184" s="574">
        <v>0</v>
      </c>
      <c r="K184" s="800"/>
      <c r="L184" s="780"/>
      <c r="M184" s="339"/>
      <c r="N184" s="49"/>
    </row>
    <row r="185" spans="1:14" ht="13.5" customHeight="1" hidden="1">
      <c r="A185" s="855"/>
      <c r="B185" s="855"/>
      <c r="C185" s="448" t="s">
        <v>16</v>
      </c>
      <c r="D185" s="861"/>
      <c r="E185" s="448">
        <f t="shared" si="10"/>
        <v>0</v>
      </c>
      <c r="F185" s="448">
        <v>0</v>
      </c>
      <c r="G185" s="448">
        <v>0</v>
      </c>
      <c r="H185" s="448">
        <v>0</v>
      </c>
      <c r="I185" s="448">
        <v>0</v>
      </c>
      <c r="J185" s="575">
        <v>0</v>
      </c>
      <c r="K185" s="800"/>
      <c r="L185" s="780"/>
      <c r="M185" s="339"/>
      <c r="N185" s="49"/>
    </row>
    <row r="186" spans="1:13" ht="13.5" customHeight="1" hidden="1">
      <c r="A186" s="856"/>
      <c r="B186" s="856"/>
      <c r="C186" s="452" t="s">
        <v>17</v>
      </c>
      <c r="D186" s="862"/>
      <c r="E186" s="452">
        <f t="shared" si="10"/>
        <v>0</v>
      </c>
      <c r="F186" s="452">
        <v>0</v>
      </c>
      <c r="G186" s="452">
        <v>0</v>
      </c>
      <c r="H186" s="452">
        <v>0</v>
      </c>
      <c r="I186" s="452">
        <v>0</v>
      </c>
      <c r="J186" s="577">
        <v>0</v>
      </c>
      <c r="K186" s="800"/>
      <c r="L186" s="780"/>
      <c r="M186" s="339"/>
    </row>
    <row r="187" spans="1:13" ht="13.5" customHeight="1" hidden="1">
      <c r="A187" s="854"/>
      <c r="B187" s="854" t="s">
        <v>101</v>
      </c>
      <c r="C187" s="444" t="s">
        <v>14</v>
      </c>
      <c r="D187" s="860" t="s">
        <v>142</v>
      </c>
      <c r="E187" s="444">
        <f t="shared" si="10"/>
        <v>0</v>
      </c>
      <c r="F187" s="444">
        <v>0</v>
      </c>
      <c r="G187" s="444">
        <v>0</v>
      </c>
      <c r="H187" s="444">
        <v>0</v>
      </c>
      <c r="I187" s="444">
        <v>0</v>
      </c>
      <c r="J187" s="574" t="s">
        <v>156</v>
      </c>
      <c r="K187" s="800"/>
      <c r="L187" s="780"/>
      <c r="M187" s="339"/>
    </row>
    <row r="188" spans="1:13" ht="13.5" customHeight="1" hidden="1">
      <c r="A188" s="855"/>
      <c r="B188" s="855"/>
      <c r="C188" s="448" t="s">
        <v>16</v>
      </c>
      <c r="D188" s="861"/>
      <c r="E188" s="448">
        <f t="shared" si="10"/>
        <v>0</v>
      </c>
      <c r="F188" s="448">
        <v>0</v>
      </c>
      <c r="G188" s="448">
        <v>0</v>
      </c>
      <c r="H188" s="448">
        <v>0</v>
      </c>
      <c r="I188" s="448">
        <v>0</v>
      </c>
      <c r="J188" s="575">
        <v>0</v>
      </c>
      <c r="K188" s="800"/>
      <c r="L188" s="780"/>
      <c r="M188" s="339"/>
    </row>
    <row r="189" spans="1:13" ht="13.5" customHeight="1" hidden="1">
      <c r="A189" s="856"/>
      <c r="B189" s="856"/>
      <c r="C189" s="452" t="s">
        <v>17</v>
      </c>
      <c r="D189" s="862"/>
      <c r="E189" s="452">
        <f t="shared" si="10"/>
        <v>0</v>
      </c>
      <c r="F189" s="452">
        <v>0</v>
      </c>
      <c r="G189" s="452">
        <v>0</v>
      </c>
      <c r="H189" s="452">
        <v>0</v>
      </c>
      <c r="I189" s="452">
        <v>0</v>
      </c>
      <c r="J189" s="577">
        <v>0</v>
      </c>
      <c r="K189" s="800"/>
      <c r="L189" s="780"/>
      <c r="M189" s="339"/>
    </row>
    <row r="190" spans="1:15" ht="13.5" customHeight="1" hidden="1">
      <c r="A190" s="854"/>
      <c r="B190" s="854" t="s">
        <v>102</v>
      </c>
      <c r="C190" s="444" t="s">
        <v>14</v>
      </c>
      <c r="D190" s="860">
        <f>E190+E191+E192</f>
        <v>0</v>
      </c>
      <c r="E190" s="444">
        <f t="shared" si="10"/>
        <v>0</v>
      </c>
      <c r="F190" s="444">
        <v>0</v>
      </c>
      <c r="G190" s="444">
        <v>0</v>
      </c>
      <c r="H190" s="444">
        <v>0</v>
      </c>
      <c r="I190" s="444">
        <v>0</v>
      </c>
      <c r="J190" s="574">
        <v>0</v>
      </c>
      <c r="K190" s="800"/>
      <c r="L190" s="780"/>
      <c r="M190" s="339"/>
      <c r="O190" s="49"/>
    </row>
    <row r="191" spans="1:13" ht="13.5" customHeight="1" hidden="1">
      <c r="A191" s="855"/>
      <c r="B191" s="855"/>
      <c r="C191" s="448" t="s">
        <v>16</v>
      </c>
      <c r="D191" s="861"/>
      <c r="E191" s="448">
        <f t="shared" si="10"/>
        <v>0</v>
      </c>
      <c r="F191" s="448">
        <v>0</v>
      </c>
      <c r="G191" s="448">
        <v>0</v>
      </c>
      <c r="H191" s="448">
        <v>0</v>
      </c>
      <c r="I191" s="448">
        <v>0</v>
      </c>
      <c r="J191" s="575">
        <v>0</v>
      </c>
      <c r="K191" s="800"/>
      <c r="L191" s="780"/>
      <c r="M191" s="339"/>
    </row>
    <row r="192" spans="1:13" ht="13.5" customHeight="1" hidden="1">
      <c r="A192" s="856"/>
      <c r="B192" s="856"/>
      <c r="C192" s="452" t="s">
        <v>17</v>
      </c>
      <c r="D192" s="862"/>
      <c r="E192" s="452">
        <f t="shared" si="10"/>
        <v>0</v>
      </c>
      <c r="F192" s="452">
        <v>0</v>
      </c>
      <c r="G192" s="452">
        <v>0</v>
      </c>
      <c r="H192" s="452">
        <v>0</v>
      </c>
      <c r="I192" s="452">
        <v>0</v>
      </c>
      <c r="J192" s="577">
        <v>0</v>
      </c>
      <c r="K192" s="800"/>
      <c r="L192" s="780"/>
      <c r="M192" s="339"/>
    </row>
    <row r="193" spans="1:13" ht="13.5" customHeight="1">
      <c r="A193" s="781" t="s">
        <v>210</v>
      </c>
      <c r="B193" s="784" t="s">
        <v>131</v>
      </c>
      <c r="C193" s="411" t="s">
        <v>14</v>
      </c>
      <c r="D193" s="851">
        <f>D196+D199+D202</f>
        <v>4244000</v>
      </c>
      <c r="E193" s="411">
        <f t="shared" si="10"/>
        <v>0</v>
      </c>
      <c r="F193" s="411">
        <f>F196+F199+F202</f>
        <v>0</v>
      </c>
      <c r="G193" s="411">
        <f>G196+G199+G202</f>
        <v>0</v>
      </c>
      <c r="H193" s="411">
        <f>H196+H199+H202</f>
        <v>0</v>
      </c>
      <c r="I193" s="411">
        <f>I196+I199+I202</f>
        <v>0</v>
      </c>
      <c r="J193" s="571">
        <f>J196+J199+J202</f>
        <v>0</v>
      </c>
      <c r="K193" s="800"/>
      <c r="L193" s="780"/>
      <c r="M193" s="339"/>
    </row>
    <row r="194" spans="1:13" ht="12.75">
      <c r="A194" s="782"/>
      <c r="B194" s="785"/>
      <c r="C194" s="416" t="s">
        <v>16</v>
      </c>
      <c r="D194" s="852"/>
      <c r="E194" s="416">
        <f t="shared" si="10"/>
        <v>0</v>
      </c>
      <c r="F194" s="416">
        <f>F197+F200+F203</f>
        <v>0</v>
      </c>
      <c r="G194" s="416">
        <f aca="true" t="shared" si="12" ref="G194:J195">G197+G200+G203</f>
        <v>0</v>
      </c>
      <c r="H194" s="416">
        <f t="shared" si="12"/>
        <v>0</v>
      </c>
      <c r="I194" s="416">
        <f t="shared" si="12"/>
        <v>0</v>
      </c>
      <c r="J194" s="572">
        <f t="shared" si="12"/>
        <v>0</v>
      </c>
      <c r="K194" s="800"/>
      <c r="L194" s="780"/>
      <c r="M194" s="339"/>
    </row>
    <row r="195" spans="1:13" ht="20.25" customHeight="1" thickBot="1">
      <c r="A195" s="783"/>
      <c r="B195" s="786"/>
      <c r="C195" s="421" t="s">
        <v>17</v>
      </c>
      <c r="D195" s="853"/>
      <c r="E195" s="421">
        <f t="shared" si="10"/>
        <v>0</v>
      </c>
      <c r="F195" s="421">
        <f>F198+F201+F204</f>
        <v>0</v>
      </c>
      <c r="G195" s="421">
        <f t="shared" si="12"/>
        <v>0</v>
      </c>
      <c r="H195" s="421">
        <f t="shared" si="12"/>
        <v>0</v>
      </c>
      <c r="I195" s="421">
        <f t="shared" si="12"/>
        <v>0</v>
      </c>
      <c r="J195" s="573">
        <f t="shared" si="12"/>
        <v>0</v>
      </c>
      <c r="K195" s="800"/>
      <c r="L195" s="780"/>
      <c r="M195" s="339"/>
    </row>
    <row r="196" spans="1:13" ht="13.5" customHeight="1" hidden="1">
      <c r="A196" s="854"/>
      <c r="B196" s="854" t="s">
        <v>108</v>
      </c>
      <c r="C196" s="444" t="s">
        <v>14</v>
      </c>
      <c r="D196" s="860" t="s">
        <v>138</v>
      </c>
      <c r="E196" s="444">
        <f t="shared" si="10"/>
        <v>0</v>
      </c>
      <c r="F196" s="444">
        <v>0</v>
      </c>
      <c r="G196" s="444">
        <v>0</v>
      </c>
      <c r="H196" s="444">
        <v>0</v>
      </c>
      <c r="I196" s="444">
        <v>0</v>
      </c>
      <c r="J196" s="574">
        <v>0</v>
      </c>
      <c r="K196" s="800"/>
      <c r="L196" s="780"/>
      <c r="M196" s="339"/>
    </row>
    <row r="197" spans="1:13" ht="13.5" customHeight="1" hidden="1">
      <c r="A197" s="855"/>
      <c r="B197" s="855"/>
      <c r="C197" s="448" t="s">
        <v>16</v>
      </c>
      <c r="D197" s="861"/>
      <c r="E197" s="448">
        <f t="shared" si="10"/>
        <v>0</v>
      </c>
      <c r="F197" s="448">
        <v>0</v>
      </c>
      <c r="G197" s="448">
        <v>0</v>
      </c>
      <c r="H197" s="448">
        <v>0</v>
      </c>
      <c r="I197" s="448">
        <v>0</v>
      </c>
      <c r="J197" s="575">
        <v>0</v>
      </c>
      <c r="K197" s="800"/>
      <c r="L197" s="780"/>
      <c r="M197" s="339"/>
    </row>
    <row r="198" spans="1:13" ht="12" customHeight="1" hidden="1">
      <c r="A198" s="856"/>
      <c r="B198" s="856"/>
      <c r="C198" s="452" t="s">
        <v>17</v>
      </c>
      <c r="D198" s="862"/>
      <c r="E198" s="452">
        <f t="shared" si="10"/>
        <v>0</v>
      </c>
      <c r="F198" s="452">
        <v>0</v>
      </c>
      <c r="G198" s="452">
        <v>0</v>
      </c>
      <c r="H198" s="452">
        <v>0</v>
      </c>
      <c r="I198" s="452">
        <v>0</v>
      </c>
      <c r="J198" s="577">
        <v>0</v>
      </c>
      <c r="K198" s="800"/>
      <c r="L198" s="780"/>
      <c r="M198" s="339"/>
    </row>
    <row r="199" spans="1:15" ht="13.5" customHeight="1" hidden="1">
      <c r="A199" s="854"/>
      <c r="B199" s="854" t="s">
        <v>107</v>
      </c>
      <c r="C199" s="444" t="s">
        <v>14</v>
      </c>
      <c r="D199" s="860" t="s">
        <v>139</v>
      </c>
      <c r="E199" s="444">
        <f t="shared" si="10"/>
        <v>0</v>
      </c>
      <c r="F199" s="444">
        <v>0</v>
      </c>
      <c r="G199" s="444">
        <v>0</v>
      </c>
      <c r="H199" s="444">
        <v>0</v>
      </c>
      <c r="I199" s="444">
        <v>0</v>
      </c>
      <c r="J199" s="574">
        <v>0</v>
      </c>
      <c r="K199" s="800"/>
      <c r="L199" s="780"/>
      <c r="M199" s="339"/>
      <c r="O199" s="49"/>
    </row>
    <row r="200" spans="1:13" ht="13.5" customHeight="1" hidden="1">
      <c r="A200" s="855"/>
      <c r="B200" s="855"/>
      <c r="C200" s="448" t="s">
        <v>16</v>
      </c>
      <c r="D200" s="861"/>
      <c r="E200" s="448">
        <f t="shared" si="10"/>
        <v>0</v>
      </c>
      <c r="F200" s="448">
        <v>0</v>
      </c>
      <c r="G200" s="448">
        <v>0</v>
      </c>
      <c r="H200" s="448">
        <v>0</v>
      </c>
      <c r="I200" s="448">
        <v>0</v>
      </c>
      <c r="J200" s="575">
        <v>0</v>
      </c>
      <c r="K200" s="800"/>
      <c r="L200" s="780"/>
      <c r="M200" s="339"/>
    </row>
    <row r="201" spans="1:13" ht="13.5" customHeight="1" hidden="1">
      <c r="A201" s="856"/>
      <c r="B201" s="856"/>
      <c r="C201" s="452" t="s">
        <v>17</v>
      </c>
      <c r="D201" s="862"/>
      <c r="E201" s="452">
        <f t="shared" si="10"/>
        <v>0</v>
      </c>
      <c r="F201" s="452">
        <v>0</v>
      </c>
      <c r="G201" s="452"/>
      <c r="H201" s="452">
        <v>0</v>
      </c>
      <c r="I201" s="452">
        <v>0</v>
      </c>
      <c r="J201" s="577">
        <v>0</v>
      </c>
      <c r="K201" s="800"/>
      <c r="L201" s="780"/>
      <c r="M201" s="339"/>
    </row>
    <row r="202" spans="1:13" ht="13.5" customHeight="1" hidden="1">
      <c r="A202" s="854"/>
      <c r="B202" s="854" t="s">
        <v>100</v>
      </c>
      <c r="C202" s="444" t="s">
        <v>14</v>
      </c>
      <c r="D202" s="860" t="s">
        <v>140</v>
      </c>
      <c r="E202" s="444">
        <f t="shared" si="10"/>
        <v>0</v>
      </c>
      <c r="F202" s="444">
        <v>0</v>
      </c>
      <c r="G202" s="444">
        <v>0</v>
      </c>
      <c r="H202" s="444">
        <v>0</v>
      </c>
      <c r="I202" s="444">
        <v>0</v>
      </c>
      <c r="J202" s="574">
        <v>0</v>
      </c>
      <c r="K202" s="800"/>
      <c r="L202" s="780"/>
      <c r="M202" s="339"/>
    </row>
    <row r="203" spans="1:13" ht="13.5" customHeight="1" hidden="1">
      <c r="A203" s="855"/>
      <c r="B203" s="855"/>
      <c r="C203" s="448" t="s">
        <v>16</v>
      </c>
      <c r="D203" s="861"/>
      <c r="E203" s="448">
        <f t="shared" si="10"/>
        <v>0</v>
      </c>
      <c r="F203" s="448">
        <v>0</v>
      </c>
      <c r="G203" s="448">
        <v>0</v>
      </c>
      <c r="H203" s="448">
        <v>0</v>
      </c>
      <c r="I203" s="448">
        <v>0</v>
      </c>
      <c r="J203" s="575">
        <v>0</v>
      </c>
      <c r="K203" s="800"/>
      <c r="L203" s="780"/>
      <c r="M203" s="339"/>
    </row>
    <row r="204" spans="1:13" ht="13.5" customHeight="1" hidden="1">
      <c r="A204" s="856"/>
      <c r="B204" s="856"/>
      <c r="C204" s="452" t="s">
        <v>17</v>
      </c>
      <c r="D204" s="862"/>
      <c r="E204" s="452">
        <f t="shared" si="10"/>
        <v>0</v>
      </c>
      <c r="F204" s="452">
        <v>0</v>
      </c>
      <c r="G204" s="452">
        <v>0</v>
      </c>
      <c r="H204" s="452">
        <v>0</v>
      </c>
      <c r="I204" s="452">
        <v>0</v>
      </c>
      <c r="J204" s="577">
        <v>0</v>
      </c>
      <c r="K204" s="800"/>
      <c r="L204" s="780"/>
      <c r="M204" s="339"/>
    </row>
    <row r="205" spans="1:13" ht="13.5" customHeight="1">
      <c r="A205" s="781" t="s">
        <v>211</v>
      </c>
      <c r="B205" s="784" t="s">
        <v>132</v>
      </c>
      <c r="C205" s="411" t="s">
        <v>14</v>
      </c>
      <c r="D205" s="851">
        <f>D208+D211+D214</f>
        <v>5805100</v>
      </c>
      <c r="E205" s="411">
        <f t="shared" si="10"/>
        <v>0</v>
      </c>
      <c r="F205" s="411">
        <f aca="true" t="shared" si="13" ref="F205:J207">F208+F211+F214</f>
        <v>0</v>
      </c>
      <c r="G205" s="411">
        <f t="shared" si="13"/>
        <v>0</v>
      </c>
      <c r="H205" s="411">
        <f t="shared" si="13"/>
        <v>0</v>
      </c>
      <c r="I205" s="411">
        <f t="shared" si="13"/>
        <v>0</v>
      </c>
      <c r="J205" s="571">
        <f t="shared" si="13"/>
        <v>0</v>
      </c>
      <c r="K205" s="800"/>
      <c r="L205" s="780"/>
      <c r="M205" s="339"/>
    </row>
    <row r="206" spans="1:13" ht="12.75">
      <c r="A206" s="782"/>
      <c r="B206" s="785"/>
      <c r="C206" s="416" t="s">
        <v>16</v>
      </c>
      <c r="D206" s="852"/>
      <c r="E206" s="416">
        <f t="shared" si="10"/>
        <v>0</v>
      </c>
      <c r="F206" s="416">
        <f t="shared" si="13"/>
        <v>0</v>
      </c>
      <c r="G206" s="416">
        <f t="shared" si="13"/>
        <v>0</v>
      </c>
      <c r="H206" s="416">
        <f t="shared" si="13"/>
        <v>0</v>
      </c>
      <c r="I206" s="416">
        <f t="shared" si="13"/>
        <v>0</v>
      </c>
      <c r="J206" s="572">
        <f t="shared" si="13"/>
        <v>0</v>
      </c>
      <c r="K206" s="800"/>
      <c r="L206" s="780"/>
      <c r="M206" s="339"/>
    </row>
    <row r="207" spans="1:13" ht="19.5" customHeight="1" thickBot="1">
      <c r="A207" s="783"/>
      <c r="B207" s="786"/>
      <c r="C207" s="421" t="s">
        <v>17</v>
      </c>
      <c r="D207" s="853"/>
      <c r="E207" s="421">
        <f t="shared" si="10"/>
        <v>0</v>
      </c>
      <c r="F207" s="421">
        <f t="shared" si="13"/>
        <v>0</v>
      </c>
      <c r="G207" s="421">
        <f t="shared" si="13"/>
        <v>0</v>
      </c>
      <c r="H207" s="421">
        <f t="shared" si="13"/>
        <v>0</v>
      </c>
      <c r="I207" s="421">
        <f t="shared" si="13"/>
        <v>0</v>
      </c>
      <c r="J207" s="573">
        <f t="shared" si="13"/>
        <v>0</v>
      </c>
      <c r="K207" s="800"/>
      <c r="L207" s="780"/>
      <c r="M207" s="339"/>
    </row>
    <row r="208" spans="1:13" ht="16.5" customHeight="1" hidden="1">
      <c r="A208" s="854"/>
      <c r="B208" s="854" t="s">
        <v>106</v>
      </c>
      <c r="C208" s="444" t="s">
        <v>14</v>
      </c>
      <c r="D208" s="860" t="s">
        <v>141</v>
      </c>
      <c r="E208" s="444">
        <f t="shared" si="10"/>
        <v>0</v>
      </c>
      <c r="F208" s="444">
        <v>0</v>
      </c>
      <c r="G208" s="444">
        <v>0</v>
      </c>
      <c r="H208" s="444">
        <v>0</v>
      </c>
      <c r="I208" s="444">
        <v>0</v>
      </c>
      <c r="J208" s="574">
        <v>0</v>
      </c>
      <c r="K208" s="800"/>
      <c r="L208" s="780"/>
      <c r="M208" s="339"/>
    </row>
    <row r="209" spans="1:13" ht="13.5" customHeight="1" hidden="1">
      <c r="A209" s="855"/>
      <c r="B209" s="855"/>
      <c r="C209" s="448" t="s">
        <v>16</v>
      </c>
      <c r="D209" s="861"/>
      <c r="E209" s="448">
        <f t="shared" si="10"/>
        <v>0</v>
      </c>
      <c r="F209" s="448">
        <v>0</v>
      </c>
      <c r="G209" s="448">
        <v>0</v>
      </c>
      <c r="H209" s="448">
        <v>0</v>
      </c>
      <c r="I209" s="448">
        <v>0</v>
      </c>
      <c r="J209" s="575">
        <v>0</v>
      </c>
      <c r="K209" s="800"/>
      <c r="L209" s="780"/>
      <c r="M209" s="339"/>
    </row>
    <row r="210" spans="1:13" ht="13.5" customHeight="1" hidden="1">
      <c r="A210" s="856"/>
      <c r="B210" s="856"/>
      <c r="C210" s="452" t="s">
        <v>17</v>
      </c>
      <c r="D210" s="862"/>
      <c r="E210" s="452">
        <f t="shared" si="10"/>
        <v>0</v>
      </c>
      <c r="F210" s="452">
        <v>0</v>
      </c>
      <c r="G210" s="452">
        <v>0</v>
      </c>
      <c r="H210" s="452">
        <v>0</v>
      </c>
      <c r="I210" s="452">
        <v>0</v>
      </c>
      <c r="J210" s="577">
        <v>0</v>
      </c>
      <c r="K210" s="800"/>
      <c r="L210" s="780"/>
      <c r="M210" s="339"/>
    </row>
    <row r="211" spans="1:15" ht="14.25" customHeight="1" hidden="1">
      <c r="A211" s="854"/>
      <c r="B211" s="854" t="s">
        <v>107</v>
      </c>
      <c r="C211" s="444" t="s">
        <v>14</v>
      </c>
      <c r="D211" s="860" t="s">
        <v>146</v>
      </c>
      <c r="E211" s="444">
        <f t="shared" si="10"/>
        <v>0</v>
      </c>
      <c r="F211" s="444">
        <v>0</v>
      </c>
      <c r="G211" s="444">
        <v>0</v>
      </c>
      <c r="H211" s="444">
        <v>0</v>
      </c>
      <c r="I211" s="444">
        <v>0</v>
      </c>
      <c r="J211" s="574">
        <v>0</v>
      </c>
      <c r="K211" s="800"/>
      <c r="L211" s="780"/>
      <c r="M211" s="339"/>
      <c r="O211" s="49"/>
    </row>
    <row r="212" spans="1:15" ht="11.25" customHeight="1" hidden="1">
      <c r="A212" s="855"/>
      <c r="B212" s="855"/>
      <c r="C212" s="448" t="s">
        <v>16</v>
      </c>
      <c r="D212" s="861"/>
      <c r="E212" s="448">
        <f t="shared" si="10"/>
        <v>0</v>
      </c>
      <c r="F212" s="448">
        <v>0</v>
      </c>
      <c r="G212" s="448">
        <v>0</v>
      </c>
      <c r="H212" s="448">
        <v>0</v>
      </c>
      <c r="I212" s="448">
        <v>0</v>
      </c>
      <c r="J212" s="575">
        <v>0</v>
      </c>
      <c r="K212" s="800"/>
      <c r="L212" s="780"/>
      <c r="M212" s="339"/>
      <c r="O212" s="49"/>
    </row>
    <row r="213" spans="1:15" ht="15" customHeight="1" hidden="1">
      <c r="A213" s="856"/>
      <c r="B213" s="856"/>
      <c r="C213" s="452" t="s">
        <v>17</v>
      </c>
      <c r="D213" s="862"/>
      <c r="E213" s="452">
        <f t="shared" si="10"/>
        <v>0</v>
      </c>
      <c r="F213" s="452">
        <v>0</v>
      </c>
      <c r="G213" s="452">
        <v>0</v>
      </c>
      <c r="H213" s="452">
        <v>0</v>
      </c>
      <c r="I213" s="452">
        <v>0</v>
      </c>
      <c r="J213" s="577">
        <v>0</v>
      </c>
      <c r="K213" s="800"/>
      <c r="L213" s="780"/>
      <c r="M213" s="339"/>
      <c r="O213" s="49"/>
    </row>
    <row r="214" spans="1:15" ht="13.5" customHeight="1" hidden="1">
      <c r="A214" s="854"/>
      <c r="B214" s="854" t="s">
        <v>100</v>
      </c>
      <c r="C214" s="444" t="s">
        <v>14</v>
      </c>
      <c r="D214" s="860" t="s">
        <v>147</v>
      </c>
      <c r="E214" s="444">
        <f t="shared" si="10"/>
        <v>0</v>
      </c>
      <c r="F214" s="444">
        <v>0</v>
      </c>
      <c r="G214" s="444">
        <v>0</v>
      </c>
      <c r="H214" s="444">
        <v>0</v>
      </c>
      <c r="I214" s="444">
        <v>0</v>
      </c>
      <c r="J214" s="574">
        <v>0</v>
      </c>
      <c r="K214" s="800"/>
      <c r="L214" s="780"/>
      <c r="M214" s="339"/>
      <c r="O214" s="49"/>
    </row>
    <row r="215" spans="1:15" ht="13.5" customHeight="1" hidden="1">
      <c r="A215" s="855"/>
      <c r="B215" s="855"/>
      <c r="C215" s="448" t="s">
        <v>16</v>
      </c>
      <c r="D215" s="861"/>
      <c r="E215" s="448">
        <f t="shared" si="10"/>
        <v>0</v>
      </c>
      <c r="F215" s="448">
        <v>0</v>
      </c>
      <c r="G215" s="448">
        <v>0</v>
      </c>
      <c r="H215" s="448">
        <v>0</v>
      </c>
      <c r="I215" s="448">
        <v>0</v>
      </c>
      <c r="J215" s="575">
        <v>0</v>
      </c>
      <c r="K215" s="800"/>
      <c r="L215" s="780"/>
      <c r="M215" s="339"/>
      <c r="O215" s="49"/>
    </row>
    <row r="216" spans="1:15" ht="13.5" customHeight="1" hidden="1">
      <c r="A216" s="856"/>
      <c r="B216" s="856"/>
      <c r="C216" s="452" t="s">
        <v>17</v>
      </c>
      <c r="D216" s="862"/>
      <c r="E216" s="452">
        <f t="shared" si="10"/>
        <v>0</v>
      </c>
      <c r="F216" s="452">
        <v>0</v>
      </c>
      <c r="G216" s="452">
        <v>0</v>
      </c>
      <c r="H216" s="452">
        <v>0</v>
      </c>
      <c r="I216" s="452">
        <v>0</v>
      </c>
      <c r="J216" s="577">
        <v>0</v>
      </c>
      <c r="K216" s="800"/>
      <c r="L216" s="780"/>
      <c r="M216" s="339"/>
      <c r="O216" s="49"/>
    </row>
    <row r="217" spans="1:15" ht="13.5" customHeight="1">
      <c r="A217" s="781" t="s">
        <v>212</v>
      </c>
      <c r="B217" s="784" t="s">
        <v>133</v>
      </c>
      <c r="C217" s="411" t="s">
        <v>14</v>
      </c>
      <c r="D217" s="851">
        <f>D220+D223+D226</f>
        <v>4784000</v>
      </c>
      <c r="E217" s="411">
        <f t="shared" si="10"/>
        <v>0</v>
      </c>
      <c r="F217" s="411">
        <f aca="true" t="shared" si="14" ref="F217:J219">F220+F223+F226</f>
        <v>0</v>
      </c>
      <c r="G217" s="411">
        <f t="shared" si="14"/>
        <v>0</v>
      </c>
      <c r="H217" s="411">
        <f t="shared" si="14"/>
        <v>0</v>
      </c>
      <c r="I217" s="411">
        <f t="shared" si="14"/>
        <v>0</v>
      </c>
      <c r="J217" s="571">
        <f t="shared" si="14"/>
        <v>0</v>
      </c>
      <c r="K217" s="800"/>
      <c r="L217" s="780"/>
      <c r="M217" s="339"/>
      <c r="O217" s="49"/>
    </row>
    <row r="218" spans="1:15" ht="12.75">
      <c r="A218" s="782"/>
      <c r="B218" s="785"/>
      <c r="C218" s="416" t="s">
        <v>16</v>
      </c>
      <c r="D218" s="852"/>
      <c r="E218" s="416">
        <f t="shared" si="10"/>
        <v>0</v>
      </c>
      <c r="F218" s="416">
        <f t="shared" si="14"/>
        <v>0</v>
      </c>
      <c r="G218" s="416">
        <f t="shared" si="14"/>
        <v>0</v>
      </c>
      <c r="H218" s="416">
        <f t="shared" si="14"/>
        <v>0</v>
      </c>
      <c r="I218" s="416">
        <f t="shared" si="14"/>
        <v>0</v>
      </c>
      <c r="J218" s="572">
        <f t="shared" si="14"/>
        <v>0</v>
      </c>
      <c r="K218" s="800"/>
      <c r="L218" s="780"/>
      <c r="M218" s="339"/>
      <c r="O218" s="49"/>
    </row>
    <row r="219" spans="1:15" ht="11.25" customHeight="1" thickBot="1">
      <c r="A219" s="783"/>
      <c r="B219" s="786"/>
      <c r="C219" s="421" t="s">
        <v>17</v>
      </c>
      <c r="D219" s="853"/>
      <c r="E219" s="421">
        <f t="shared" si="10"/>
        <v>0</v>
      </c>
      <c r="F219" s="421">
        <f t="shared" si="14"/>
        <v>0</v>
      </c>
      <c r="G219" s="421">
        <f t="shared" si="14"/>
        <v>0</v>
      </c>
      <c r="H219" s="421">
        <f t="shared" si="14"/>
        <v>0</v>
      </c>
      <c r="I219" s="421">
        <f t="shared" si="14"/>
        <v>0</v>
      </c>
      <c r="J219" s="573">
        <f t="shared" si="14"/>
        <v>0</v>
      </c>
      <c r="K219" s="800"/>
      <c r="L219" s="780"/>
      <c r="M219" s="339"/>
      <c r="O219" s="49"/>
    </row>
    <row r="220" spans="1:15" ht="13.5" customHeight="1" hidden="1">
      <c r="A220" s="854"/>
      <c r="B220" s="854" t="s">
        <v>108</v>
      </c>
      <c r="C220" s="444" t="s">
        <v>14</v>
      </c>
      <c r="D220" s="860" t="s">
        <v>148</v>
      </c>
      <c r="E220" s="444">
        <f t="shared" si="10"/>
        <v>0</v>
      </c>
      <c r="F220" s="444">
        <v>0</v>
      </c>
      <c r="G220" s="444">
        <v>0</v>
      </c>
      <c r="H220" s="444">
        <v>0</v>
      </c>
      <c r="I220" s="444">
        <v>0</v>
      </c>
      <c r="J220" s="574">
        <v>0</v>
      </c>
      <c r="K220" s="800"/>
      <c r="L220" s="780"/>
      <c r="M220" s="339"/>
      <c r="O220" s="49"/>
    </row>
    <row r="221" spans="1:16" ht="13.5" customHeight="1" hidden="1">
      <c r="A221" s="855"/>
      <c r="B221" s="855"/>
      <c r="C221" s="448" t="s">
        <v>16</v>
      </c>
      <c r="D221" s="861"/>
      <c r="E221" s="448">
        <f t="shared" si="10"/>
        <v>0</v>
      </c>
      <c r="F221" s="448">
        <v>0</v>
      </c>
      <c r="G221" s="448">
        <v>0</v>
      </c>
      <c r="H221" s="448">
        <v>0</v>
      </c>
      <c r="I221" s="448">
        <v>0</v>
      </c>
      <c r="J221" s="575">
        <v>0</v>
      </c>
      <c r="K221" s="800"/>
      <c r="L221" s="780"/>
      <c r="M221" s="339"/>
      <c r="O221" s="49"/>
      <c r="P221" s="49"/>
    </row>
    <row r="222" spans="1:15" ht="13.5" customHeight="1" hidden="1">
      <c r="A222" s="856"/>
      <c r="B222" s="856"/>
      <c r="C222" s="452" t="s">
        <v>17</v>
      </c>
      <c r="D222" s="862"/>
      <c r="E222" s="452">
        <f t="shared" si="10"/>
        <v>0</v>
      </c>
      <c r="F222" s="452">
        <v>0</v>
      </c>
      <c r="G222" s="452">
        <v>0</v>
      </c>
      <c r="H222" s="452"/>
      <c r="I222" s="452">
        <v>0</v>
      </c>
      <c r="J222" s="577">
        <v>0</v>
      </c>
      <c r="K222" s="800"/>
      <c r="L222" s="780"/>
      <c r="M222" s="339"/>
      <c r="O222" s="49"/>
    </row>
    <row r="223" spans="1:15" ht="13.5" customHeight="1" hidden="1">
      <c r="A223" s="854"/>
      <c r="B223" s="854" t="s">
        <v>107</v>
      </c>
      <c r="C223" s="444" t="s">
        <v>14</v>
      </c>
      <c r="D223" s="860" t="s">
        <v>149</v>
      </c>
      <c r="E223" s="444">
        <f t="shared" si="10"/>
        <v>0</v>
      </c>
      <c r="F223" s="444">
        <v>0</v>
      </c>
      <c r="G223" s="444">
        <v>0</v>
      </c>
      <c r="H223" s="444">
        <v>0</v>
      </c>
      <c r="I223" s="444">
        <v>0</v>
      </c>
      <c r="J223" s="574">
        <v>0</v>
      </c>
      <c r="K223" s="800"/>
      <c r="L223" s="780"/>
      <c r="M223" s="339"/>
      <c r="O223" s="49"/>
    </row>
    <row r="224" spans="1:15" ht="13.5" customHeight="1" hidden="1">
      <c r="A224" s="855"/>
      <c r="B224" s="855"/>
      <c r="C224" s="448" t="s">
        <v>16</v>
      </c>
      <c r="D224" s="861"/>
      <c r="E224" s="448">
        <f t="shared" si="10"/>
        <v>0</v>
      </c>
      <c r="F224" s="448">
        <v>0</v>
      </c>
      <c r="G224" s="448">
        <v>0</v>
      </c>
      <c r="H224" s="448">
        <v>0</v>
      </c>
      <c r="I224" s="448">
        <v>0</v>
      </c>
      <c r="J224" s="575">
        <v>0</v>
      </c>
      <c r="K224" s="800"/>
      <c r="L224" s="780"/>
      <c r="M224" s="339"/>
      <c r="O224" s="49"/>
    </row>
    <row r="225" spans="1:15" ht="13.5" customHeight="1" hidden="1">
      <c r="A225" s="856"/>
      <c r="B225" s="856"/>
      <c r="C225" s="452" t="s">
        <v>17</v>
      </c>
      <c r="D225" s="862"/>
      <c r="E225" s="452">
        <f t="shared" si="10"/>
        <v>0</v>
      </c>
      <c r="F225" s="452">
        <v>0</v>
      </c>
      <c r="G225" s="452">
        <v>0</v>
      </c>
      <c r="H225" s="452">
        <v>0</v>
      </c>
      <c r="I225" s="452">
        <v>0</v>
      </c>
      <c r="J225" s="577">
        <v>0</v>
      </c>
      <c r="K225" s="800"/>
      <c r="L225" s="780"/>
      <c r="M225" s="339"/>
      <c r="O225" s="49"/>
    </row>
    <row r="226" spans="1:13" ht="13.5" customHeight="1" hidden="1">
      <c r="A226" s="854"/>
      <c r="B226" s="854" t="s">
        <v>100</v>
      </c>
      <c r="C226" s="444" t="s">
        <v>14</v>
      </c>
      <c r="D226" s="860" t="s">
        <v>150</v>
      </c>
      <c r="E226" s="444">
        <f t="shared" si="10"/>
        <v>0</v>
      </c>
      <c r="F226" s="444">
        <v>0</v>
      </c>
      <c r="G226" s="444">
        <v>0</v>
      </c>
      <c r="H226" s="444">
        <v>0</v>
      </c>
      <c r="I226" s="444">
        <v>0</v>
      </c>
      <c r="J226" s="574">
        <v>0</v>
      </c>
      <c r="K226" s="800"/>
      <c r="L226" s="780"/>
      <c r="M226" s="339"/>
    </row>
    <row r="227" spans="1:13" ht="13.5" customHeight="1" hidden="1">
      <c r="A227" s="855"/>
      <c r="B227" s="855"/>
      <c r="C227" s="448" t="s">
        <v>16</v>
      </c>
      <c r="D227" s="861"/>
      <c r="E227" s="448">
        <f t="shared" si="10"/>
        <v>0</v>
      </c>
      <c r="F227" s="448">
        <v>0</v>
      </c>
      <c r="G227" s="448">
        <v>0</v>
      </c>
      <c r="H227" s="448">
        <v>0</v>
      </c>
      <c r="I227" s="448">
        <v>0</v>
      </c>
      <c r="J227" s="575">
        <v>0</v>
      </c>
      <c r="K227" s="800"/>
      <c r="L227" s="780"/>
      <c r="M227" s="339"/>
    </row>
    <row r="228" spans="1:13" ht="13.5" customHeight="1" hidden="1">
      <c r="A228" s="856"/>
      <c r="B228" s="856"/>
      <c r="C228" s="452" t="s">
        <v>17</v>
      </c>
      <c r="D228" s="862"/>
      <c r="E228" s="452">
        <f t="shared" si="10"/>
        <v>0</v>
      </c>
      <c r="F228" s="452">
        <v>0</v>
      </c>
      <c r="G228" s="452">
        <v>0</v>
      </c>
      <c r="H228" s="452">
        <v>0</v>
      </c>
      <c r="I228" s="452">
        <v>0</v>
      </c>
      <c r="J228" s="553">
        <v>0</v>
      </c>
      <c r="K228" s="800"/>
      <c r="L228" s="780"/>
      <c r="M228" s="339"/>
    </row>
    <row r="229" spans="1:13" ht="13.5" customHeight="1">
      <c r="A229" s="781" t="s">
        <v>213</v>
      </c>
      <c r="B229" s="784" t="s">
        <v>134</v>
      </c>
      <c r="C229" s="411" t="s">
        <v>14</v>
      </c>
      <c r="D229" s="851">
        <f>D232+D235+D238</f>
        <v>4046000</v>
      </c>
      <c r="E229" s="411">
        <f t="shared" si="10"/>
        <v>0</v>
      </c>
      <c r="F229" s="411">
        <f aca="true" t="shared" si="15" ref="F229:J231">F232+F235+F238</f>
        <v>0</v>
      </c>
      <c r="G229" s="411">
        <f t="shared" si="15"/>
        <v>0</v>
      </c>
      <c r="H229" s="411">
        <f t="shared" si="15"/>
        <v>0</v>
      </c>
      <c r="I229" s="411">
        <f t="shared" si="15"/>
        <v>0</v>
      </c>
      <c r="J229" s="571">
        <f t="shared" si="15"/>
        <v>0</v>
      </c>
      <c r="K229" s="800"/>
      <c r="L229" s="780"/>
      <c r="M229" s="339"/>
    </row>
    <row r="230" spans="1:13" ht="12.75">
      <c r="A230" s="782"/>
      <c r="B230" s="785"/>
      <c r="C230" s="416" t="s">
        <v>16</v>
      </c>
      <c r="D230" s="852"/>
      <c r="E230" s="416">
        <f t="shared" si="10"/>
        <v>0</v>
      </c>
      <c r="F230" s="416">
        <f t="shared" si="15"/>
        <v>0</v>
      </c>
      <c r="G230" s="416">
        <f t="shared" si="15"/>
        <v>0</v>
      </c>
      <c r="H230" s="416">
        <f t="shared" si="15"/>
        <v>0</v>
      </c>
      <c r="I230" s="416">
        <f t="shared" si="15"/>
        <v>0</v>
      </c>
      <c r="J230" s="572">
        <f t="shared" si="15"/>
        <v>0</v>
      </c>
      <c r="K230" s="800"/>
      <c r="L230" s="780"/>
      <c r="M230" s="339"/>
    </row>
    <row r="231" spans="1:13" ht="11.25" customHeight="1" thickBot="1">
      <c r="A231" s="783"/>
      <c r="B231" s="786"/>
      <c r="C231" s="421" t="s">
        <v>17</v>
      </c>
      <c r="D231" s="853"/>
      <c r="E231" s="421">
        <f t="shared" si="10"/>
        <v>0</v>
      </c>
      <c r="F231" s="421">
        <f t="shared" si="15"/>
        <v>0</v>
      </c>
      <c r="G231" s="421">
        <f t="shared" si="15"/>
        <v>0</v>
      </c>
      <c r="H231" s="421">
        <f t="shared" si="15"/>
        <v>0</v>
      </c>
      <c r="I231" s="421">
        <f t="shared" si="15"/>
        <v>0</v>
      </c>
      <c r="J231" s="573">
        <f t="shared" si="15"/>
        <v>0</v>
      </c>
      <c r="K231" s="800"/>
      <c r="L231" s="780"/>
      <c r="M231" s="339"/>
    </row>
    <row r="232" spans="1:13" ht="13.5" customHeight="1" hidden="1">
      <c r="A232" s="863"/>
      <c r="B232" s="854" t="s">
        <v>104</v>
      </c>
      <c r="C232" s="444" t="s">
        <v>14</v>
      </c>
      <c r="D232" s="860" t="s">
        <v>151</v>
      </c>
      <c r="E232" s="444">
        <f t="shared" si="10"/>
        <v>0</v>
      </c>
      <c r="F232" s="444">
        <v>0</v>
      </c>
      <c r="G232" s="444">
        <v>0</v>
      </c>
      <c r="H232" s="444">
        <v>0</v>
      </c>
      <c r="I232" s="444">
        <v>0</v>
      </c>
      <c r="J232" s="574">
        <v>0</v>
      </c>
      <c r="K232" s="800"/>
      <c r="L232" s="780"/>
      <c r="M232" s="339"/>
    </row>
    <row r="233" spans="1:13" ht="13.5" customHeight="1" hidden="1">
      <c r="A233" s="864"/>
      <c r="B233" s="855"/>
      <c r="C233" s="448" t="s">
        <v>16</v>
      </c>
      <c r="D233" s="861"/>
      <c r="E233" s="448">
        <f aca="true" t="shared" si="16" ref="E233:E256">SUM(F233:J233)</f>
        <v>0</v>
      </c>
      <c r="F233" s="448">
        <v>0</v>
      </c>
      <c r="G233" s="448">
        <v>0</v>
      </c>
      <c r="H233" s="448">
        <v>0</v>
      </c>
      <c r="I233" s="448">
        <v>0</v>
      </c>
      <c r="J233" s="575">
        <v>0</v>
      </c>
      <c r="K233" s="800"/>
      <c r="L233" s="780"/>
      <c r="M233" s="339"/>
    </row>
    <row r="234" spans="1:13" ht="13.5" customHeight="1" hidden="1">
      <c r="A234" s="865"/>
      <c r="B234" s="856"/>
      <c r="C234" s="452" t="s">
        <v>17</v>
      </c>
      <c r="D234" s="862"/>
      <c r="E234" s="452">
        <f t="shared" si="16"/>
        <v>0</v>
      </c>
      <c r="F234" s="452">
        <v>0</v>
      </c>
      <c r="G234" s="452">
        <v>0</v>
      </c>
      <c r="H234" s="452">
        <v>0</v>
      </c>
      <c r="I234" s="452">
        <v>0</v>
      </c>
      <c r="J234" s="577">
        <v>0</v>
      </c>
      <c r="K234" s="800"/>
      <c r="L234" s="780"/>
      <c r="M234" s="339"/>
    </row>
    <row r="235" spans="1:14" ht="13.5" customHeight="1" hidden="1">
      <c r="A235" s="863"/>
      <c r="B235" s="854" t="s">
        <v>105</v>
      </c>
      <c r="C235" s="444" t="s">
        <v>14</v>
      </c>
      <c r="D235" s="860" t="s">
        <v>152</v>
      </c>
      <c r="E235" s="444">
        <f t="shared" si="16"/>
        <v>0</v>
      </c>
      <c r="F235" s="444">
        <v>0</v>
      </c>
      <c r="G235" s="444">
        <v>0</v>
      </c>
      <c r="H235" s="444">
        <v>0</v>
      </c>
      <c r="I235" s="444">
        <v>0</v>
      </c>
      <c r="J235" s="574">
        <v>0</v>
      </c>
      <c r="K235" s="800"/>
      <c r="L235" s="780"/>
      <c r="M235" s="339"/>
      <c r="N235" s="49"/>
    </row>
    <row r="236" spans="1:13" ht="13.5" customHeight="1" hidden="1">
      <c r="A236" s="864"/>
      <c r="B236" s="855"/>
      <c r="C236" s="448" t="s">
        <v>16</v>
      </c>
      <c r="D236" s="861"/>
      <c r="E236" s="448">
        <f t="shared" si="16"/>
        <v>0</v>
      </c>
      <c r="F236" s="448">
        <v>0</v>
      </c>
      <c r="G236" s="448">
        <v>0</v>
      </c>
      <c r="H236" s="448">
        <v>0</v>
      </c>
      <c r="I236" s="448">
        <v>0</v>
      </c>
      <c r="J236" s="575">
        <v>0</v>
      </c>
      <c r="K236" s="800"/>
      <c r="L236" s="780"/>
      <c r="M236" s="339"/>
    </row>
    <row r="237" spans="1:13" ht="13.5" customHeight="1" hidden="1">
      <c r="A237" s="865"/>
      <c r="B237" s="856"/>
      <c r="C237" s="452" t="s">
        <v>17</v>
      </c>
      <c r="D237" s="862"/>
      <c r="E237" s="452">
        <f t="shared" si="16"/>
        <v>0</v>
      </c>
      <c r="F237" s="452">
        <v>0</v>
      </c>
      <c r="G237" s="452">
        <v>0</v>
      </c>
      <c r="H237" s="452">
        <v>0</v>
      </c>
      <c r="I237" s="452">
        <v>0</v>
      </c>
      <c r="J237" s="577">
        <v>0</v>
      </c>
      <c r="K237" s="800"/>
      <c r="L237" s="780"/>
      <c r="M237" s="339"/>
    </row>
    <row r="238" spans="1:13" ht="13.5" customHeight="1" hidden="1">
      <c r="A238" s="863"/>
      <c r="B238" s="854" t="s">
        <v>100</v>
      </c>
      <c r="C238" s="444" t="s">
        <v>14</v>
      </c>
      <c r="D238" s="860" t="s">
        <v>153</v>
      </c>
      <c r="E238" s="444">
        <f t="shared" si="16"/>
        <v>0</v>
      </c>
      <c r="F238" s="444">
        <v>0</v>
      </c>
      <c r="G238" s="444">
        <v>0</v>
      </c>
      <c r="H238" s="444">
        <v>0</v>
      </c>
      <c r="I238" s="444">
        <v>0</v>
      </c>
      <c r="J238" s="574">
        <v>0</v>
      </c>
      <c r="K238" s="800"/>
      <c r="L238" s="780"/>
      <c r="M238" s="339"/>
    </row>
    <row r="239" spans="1:13" ht="13.5" customHeight="1" hidden="1">
      <c r="A239" s="864"/>
      <c r="B239" s="855"/>
      <c r="C239" s="448" t="s">
        <v>16</v>
      </c>
      <c r="D239" s="861"/>
      <c r="E239" s="448">
        <f t="shared" si="16"/>
        <v>0</v>
      </c>
      <c r="F239" s="448">
        <v>0</v>
      </c>
      <c r="G239" s="448">
        <v>0</v>
      </c>
      <c r="H239" s="448">
        <v>0</v>
      </c>
      <c r="I239" s="448">
        <v>0</v>
      </c>
      <c r="J239" s="575">
        <v>0</v>
      </c>
      <c r="K239" s="800"/>
      <c r="L239" s="780"/>
      <c r="M239" s="339"/>
    </row>
    <row r="240" spans="1:13" ht="12" customHeight="1" hidden="1">
      <c r="A240" s="865"/>
      <c r="B240" s="856"/>
      <c r="C240" s="452" t="s">
        <v>17</v>
      </c>
      <c r="D240" s="862"/>
      <c r="E240" s="452">
        <f t="shared" si="16"/>
        <v>0</v>
      </c>
      <c r="F240" s="452">
        <v>0</v>
      </c>
      <c r="G240" s="452">
        <v>0</v>
      </c>
      <c r="H240" s="452">
        <v>0</v>
      </c>
      <c r="I240" s="452">
        <v>0</v>
      </c>
      <c r="J240" s="577">
        <v>0</v>
      </c>
      <c r="K240" s="800"/>
      <c r="L240" s="780"/>
      <c r="M240" s="339"/>
    </row>
    <row r="241" spans="1:13" ht="13.5" customHeight="1">
      <c r="A241" s="781" t="s">
        <v>214</v>
      </c>
      <c r="B241" s="784" t="s">
        <v>135</v>
      </c>
      <c r="C241" s="411" t="s">
        <v>14</v>
      </c>
      <c r="D241" s="851">
        <f>D244+D247</f>
        <v>2265000</v>
      </c>
      <c r="E241" s="411">
        <f t="shared" si="16"/>
        <v>0</v>
      </c>
      <c r="F241" s="411">
        <f>F244+F247</f>
        <v>0</v>
      </c>
      <c r="G241" s="411">
        <f>G244+G247</f>
        <v>0</v>
      </c>
      <c r="H241" s="411">
        <f>H244+H247</f>
        <v>0</v>
      </c>
      <c r="I241" s="411">
        <f>I244+I247</f>
        <v>0</v>
      </c>
      <c r="J241" s="571">
        <f>J244+J247</f>
        <v>0</v>
      </c>
      <c r="K241" s="800"/>
      <c r="L241" s="780"/>
      <c r="M241" s="339"/>
    </row>
    <row r="242" spans="1:13" ht="12.75">
      <c r="A242" s="782"/>
      <c r="B242" s="785"/>
      <c r="C242" s="416" t="s">
        <v>16</v>
      </c>
      <c r="D242" s="852"/>
      <c r="E242" s="416">
        <f t="shared" si="16"/>
        <v>0</v>
      </c>
      <c r="F242" s="416">
        <f aca="true" t="shared" si="17" ref="F242:J243">F245+F248</f>
        <v>0</v>
      </c>
      <c r="G242" s="416">
        <f t="shared" si="17"/>
        <v>0</v>
      </c>
      <c r="H242" s="416">
        <f t="shared" si="17"/>
        <v>0</v>
      </c>
      <c r="I242" s="416">
        <f t="shared" si="17"/>
        <v>0</v>
      </c>
      <c r="J242" s="572">
        <f t="shared" si="17"/>
        <v>0</v>
      </c>
      <c r="K242" s="800"/>
      <c r="L242" s="780"/>
      <c r="M242" s="339"/>
    </row>
    <row r="243" spans="1:13" ht="15" customHeight="1" thickBot="1">
      <c r="A243" s="783"/>
      <c r="B243" s="786"/>
      <c r="C243" s="421" t="s">
        <v>17</v>
      </c>
      <c r="D243" s="853"/>
      <c r="E243" s="421">
        <f t="shared" si="16"/>
        <v>0</v>
      </c>
      <c r="F243" s="421">
        <f t="shared" si="17"/>
        <v>0</v>
      </c>
      <c r="G243" s="421">
        <f t="shared" si="17"/>
        <v>0</v>
      </c>
      <c r="H243" s="421">
        <f t="shared" si="17"/>
        <v>0</v>
      </c>
      <c r="I243" s="421">
        <f t="shared" si="17"/>
        <v>0</v>
      </c>
      <c r="J243" s="573">
        <f t="shared" si="17"/>
        <v>0</v>
      </c>
      <c r="K243" s="801"/>
      <c r="L243" s="780"/>
      <c r="M243" s="339"/>
    </row>
    <row r="244" spans="1:13" ht="15.75" customHeight="1" hidden="1">
      <c r="A244" s="866"/>
      <c r="B244" s="866" t="s">
        <v>104</v>
      </c>
      <c r="C244" s="446" t="s">
        <v>14</v>
      </c>
      <c r="D244" s="869">
        <v>954000</v>
      </c>
      <c r="E244" s="446">
        <f t="shared" si="16"/>
        <v>0</v>
      </c>
      <c r="F244" s="446">
        <v>0</v>
      </c>
      <c r="G244" s="446">
        <v>0</v>
      </c>
      <c r="H244" s="446">
        <v>0</v>
      </c>
      <c r="I244" s="446">
        <v>0</v>
      </c>
      <c r="J244" s="578">
        <v>0</v>
      </c>
      <c r="K244" s="579"/>
      <c r="L244" s="780"/>
      <c r="M244" s="339"/>
    </row>
    <row r="245" spans="1:13" ht="13.5" customHeight="1" hidden="1">
      <c r="A245" s="867"/>
      <c r="B245" s="867"/>
      <c r="C245" s="450" t="s">
        <v>16</v>
      </c>
      <c r="D245" s="870"/>
      <c r="E245" s="450">
        <f t="shared" si="16"/>
        <v>0</v>
      </c>
      <c r="F245" s="450">
        <v>0</v>
      </c>
      <c r="G245" s="450">
        <v>0</v>
      </c>
      <c r="H245" s="450">
        <v>0</v>
      </c>
      <c r="I245" s="450">
        <v>0</v>
      </c>
      <c r="J245" s="580">
        <v>0</v>
      </c>
      <c r="K245" s="581"/>
      <c r="L245" s="780"/>
      <c r="M245" s="339"/>
    </row>
    <row r="246" spans="1:13" ht="13.5" customHeight="1" hidden="1">
      <c r="A246" s="868"/>
      <c r="B246" s="868"/>
      <c r="C246" s="454" t="s">
        <v>17</v>
      </c>
      <c r="D246" s="871"/>
      <c r="E246" s="454">
        <f t="shared" si="16"/>
        <v>0</v>
      </c>
      <c r="F246" s="454">
        <v>0</v>
      </c>
      <c r="G246" s="454">
        <v>0</v>
      </c>
      <c r="H246" s="454">
        <v>0</v>
      </c>
      <c r="I246" s="454">
        <v>0</v>
      </c>
      <c r="J246" s="582">
        <v>0</v>
      </c>
      <c r="K246" s="583"/>
      <c r="L246" s="780"/>
      <c r="M246" s="339"/>
    </row>
    <row r="247" spans="1:14" ht="13.5" customHeight="1" hidden="1">
      <c r="A247" s="866"/>
      <c r="B247" s="866" t="s">
        <v>105</v>
      </c>
      <c r="C247" s="446" t="s">
        <v>14</v>
      </c>
      <c r="D247" s="869">
        <v>1311000</v>
      </c>
      <c r="E247" s="446">
        <f t="shared" si="16"/>
        <v>0</v>
      </c>
      <c r="F247" s="446">
        <v>0</v>
      </c>
      <c r="G247" s="446">
        <v>0</v>
      </c>
      <c r="H247" s="446">
        <v>0</v>
      </c>
      <c r="I247" s="446">
        <v>0</v>
      </c>
      <c r="J247" s="578">
        <v>0</v>
      </c>
      <c r="K247" s="579"/>
      <c r="L247" s="780"/>
      <c r="M247" s="339"/>
      <c r="N247" s="49"/>
    </row>
    <row r="248" spans="1:13" ht="13.5" customHeight="1" hidden="1">
      <c r="A248" s="867"/>
      <c r="B248" s="867"/>
      <c r="C248" s="450" t="s">
        <v>16</v>
      </c>
      <c r="D248" s="870"/>
      <c r="E248" s="450">
        <f t="shared" si="16"/>
        <v>0</v>
      </c>
      <c r="F248" s="450">
        <v>0</v>
      </c>
      <c r="G248" s="450">
        <v>0</v>
      </c>
      <c r="H248" s="450">
        <v>0</v>
      </c>
      <c r="I248" s="450">
        <v>0</v>
      </c>
      <c r="J248" s="580">
        <v>0</v>
      </c>
      <c r="K248" s="581"/>
      <c r="L248" s="780"/>
      <c r="M248" s="339"/>
    </row>
    <row r="249" spans="1:13" ht="13.5" customHeight="1" hidden="1">
      <c r="A249" s="868"/>
      <c r="B249" s="868"/>
      <c r="C249" s="454" t="s">
        <v>17</v>
      </c>
      <c r="D249" s="879"/>
      <c r="E249" s="454">
        <f t="shared" si="16"/>
        <v>0</v>
      </c>
      <c r="F249" s="454">
        <v>0</v>
      </c>
      <c r="G249" s="454">
        <v>0</v>
      </c>
      <c r="H249" s="454">
        <v>0</v>
      </c>
      <c r="I249" s="454">
        <v>0</v>
      </c>
      <c r="J249" s="582">
        <v>0</v>
      </c>
      <c r="K249" s="583"/>
      <c r="L249" s="780"/>
      <c r="M249" s="339"/>
    </row>
    <row r="250" spans="1:13" ht="13.5" customHeight="1">
      <c r="A250" s="880"/>
      <c r="B250" s="883" t="s">
        <v>74</v>
      </c>
      <c r="C250" s="540" t="s">
        <v>14</v>
      </c>
      <c r="D250" s="886"/>
      <c r="E250" s="540">
        <f t="shared" si="16"/>
        <v>45899.6</v>
      </c>
      <c r="F250" s="540">
        <f>F169+F172+F193+F205+F217+F229+F241</f>
        <v>45899.6</v>
      </c>
      <c r="G250" s="540">
        <f aca="true" t="shared" si="18" ref="G250:J251">G169+G172+G193+G205+G217+G229+G241</f>
        <v>0</v>
      </c>
      <c r="H250" s="540">
        <f t="shared" si="18"/>
        <v>0</v>
      </c>
      <c r="I250" s="540">
        <f t="shared" si="18"/>
        <v>0</v>
      </c>
      <c r="J250" s="540">
        <f t="shared" si="18"/>
        <v>0</v>
      </c>
      <c r="K250" s="541"/>
      <c r="L250" s="780"/>
      <c r="M250" s="339"/>
    </row>
    <row r="251" spans="1:13" ht="12.75">
      <c r="A251" s="881"/>
      <c r="B251" s="884"/>
      <c r="C251" s="543" t="s">
        <v>16</v>
      </c>
      <c r="D251" s="887"/>
      <c r="E251" s="543">
        <f t="shared" si="16"/>
        <v>405000</v>
      </c>
      <c r="F251" s="543">
        <f>F170+F173+F194+F206+F218+F230+F242</f>
        <v>405000</v>
      </c>
      <c r="G251" s="543">
        <f t="shared" si="18"/>
        <v>0</v>
      </c>
      <c r="H251" s="543">
        <f t="shared" si="18"/>
        <v>0</v>
      </c>
      <c r="I251" s="543">
        <f t="shared" si="18"/>
        <v>0</v>
      </c>
      <c r="J251" s="543">
        <f t="shared" si="18"/>
        <v>0</v>
      </c>
      <c r="K251" s="544"/>
      <c r="L251" s="780"/>
      <c r="M251" s="339"/>
    </row>
    <row r="252" spans="1:13" ht="13.5" thickBot="1">
      <c r="A252" s="882"/>
      <c r="B252" s="885"/>
      <c r="C252" s="546" t="s">
        <v>17</v>
      </c>
      <c r="D252" s="888"/>
      <c r="E252" s="546">
        <f t="shared" si="16"/>
        <v>0</v>
      </c>
      <c r="F252" s="546">
        <f>F171+F174+F195+F207+F219+F231+F243</f>
        <v>0</v>
      </c>
      <c r="G252" s="546">
        <f>G171+G174+G195+G207+G219+G231+G243</f>
        <v>0</v>
      </c>
      <c r="H252" s="546">
        <f>H171+H174+H195+H207+H219+H231+H243</f>
        <v>0</v>
      </c>
      <c r="I252" s="546">
        <f>I171+I174+I195+I207+I219+I231+I243</f>
        <v>0</v>
      </c>
      <c r="J252" s="546">
        <f>J171+J174+J195+J207+J219+J231+J243</f>
        <v>0</v>
      </c>
      <c r="K252" s="547"/>
      <c r="L252" s="780"/>
      <c r="M252" s="339"/>
    </row>
    <row r="253" spans="1:14" ht="15.75" customHeight="1">
      <c r="A253" s="872"/>
      <c r="B253" s="875" t="s">
        <v>75</v>
      </c>
      <c r="C253" s="584" t="s">
        <v>14</v>
      </c>
      <c r="D253" s="585">
        <f>SUM(F253:J253)</f>
        <v>66389090.760000005</v>
      </c>
      <c r="E253" s="586">
        <f t="shared" si="16"/>
        <v>66389090.760000005</v>
      </c>
      <c r="F253" s="586">
        <f>F141+F161+F250</f>
        <v>28421539.830000002</v>
      </c>
      <c r="G253" s="586">
        <f>G141+G161+G250</f>
        <v>25036446.93</v>
      </c>
      <c r="H253" s="586">
        <f>H141+H161+H250</f>
        <v>5325101.539999999</v>
      </c>
      <c r="I253" s="586">
        <f>I141+I161+I250</f>
        <v>3806002.46</v>
      </c>
      <c r="J253" s="586">
        <f>J141+J161+J250</f>
        <v>3800000</v>
      </c>
      <c r="K253" s="587"/>
      <c r="L253" s="780"/>
      <c r="M253" s="340"/>
      <c r="N253" s="261"/>
    </row>
    <row r="254" spans="1:14" ht="15">
      <c r="A254" s="873"/>
      <c r="B254" s="876"/>
      <c r="C254" s="588" t="s">
        <v>16</v>
      </c>
      <c r="D254" s="585">
        <f>SUM(F254:J254)</f>
        <v>14362266.900000002</v>
      </c>
      <c r="E254" s="589">
        <f t="shared" si="16"/>
        <v>14362266.900000002</v>
      </c>
      <c r="F254" s="589">
        <f aca="true" t="shared" si="19" ref="F254:J255">F142+F162+F251</f>
        <v>405000</v>
      </c>
      <c r="G254" s="589">
        <f t="shared" si="19"/>
        <v>7182949.96</v>
      </c>
      <c r="H254" s="589">
        <f>H142+H162+H251</f>
        <v>6774316.940000001</v>
      </c>
      <c r="I254" s="589">
        <f t="shared" si="19"/>
        <v>0</v>
      </c>
      <c r="J254" s="589">
        <f t="shared" si="19"/>
        <v>0</v>
      </c>
      <c r="K254" s="590"/>
      <c r="L254" s="780"/>
      <c r="M254" s="340"/>
      <c r="N254" s="261"/>
    </row>
    <row r="255" spans="1:13" ht="16.5" customHeight="1" thickBot="1">
      <c r="A255" s="874"/>
      <c r="B255" s="877"/>
      <c r="C255" s="591" t="s">
        <v>17</v>
      </c>
      <c r="D255" s="585">
        <f>SUM(F255:J255)</f>
        <v>168588975.98</v>
      </c>
      <c r="E255" s="592">
        <f t="shared" si="16"/>
        <v>168588975.98</v>
      </c>
      <c r="F255" s="593">
        <f t="shared" si="19"/>
        <v>3752000</v>
      </c>
      <c r="G255" s="593">
        <f t="shared" si="19"/>
        <v>83520975.97999999</v>
      </c>
      <c r="H255" s="593">
        <f t="shared" si="19"/>
        <v>48752000</v>
      </c>
      <c r="I255" s="593">
        <f t="shared" si="19"/>
        <v>32564000</v>
      </c>
      <c r="J255" s="593">
        <f t="shared" si="19"/>
        <v>0</v>
      </c>
      <c r="K255" s="594"/>
      <c r="L255" s="595"/>
      <c r="M255" s="339"/>
    </row>
    <row r="256" spans="1:13" ht="15.75" thickBot="1">
      <c r="A256" s="596"/>
      <c r="B256" s="596" t="s">
        <v>111</v>
      </c>
      <c r="C256" s="596"/>
      <c r="D256" s="585">
        <f>F256+G256+H256+I256+J256</f>
        <v>249340333.64000002</v>
      </c>
      <c r="E256" s="597">
        <f t="shared" si="16"/>
        <v>249340333.64000002</v>
      </c>
      <c r="F256" s="598">
        <f>SUM(F253:F255)</f>
        <v>32578539.830000002</v>
      </c>
      <c r="G256" s="598">
        <f>SUM(G253:G255)</f>
        <v>115740372.86999999</v>
      </c>
      <c r="H256" s="598">
        <f>SUM(H253:H255)</f>
        <v>60851418.480000004</v>
      </c>
      <c r="I256" s="598">
        <f>SUM(I253:I255)</f>
        <v>36370002.46</v>
      </c>
      <c r="J256" s="598">
        <f>SUM(J253:J255)</f>
        <v>3800000</v>
      </c>
      <c r="K256" s="599"/>
      <c r="L256" s="600"/>
      <c r="M256" s="333"/>
    </row>
    <row r="257" spans="1:12" ht="15">
      <c r="A257" s="395"/>
      <c r="B257" s="395"/>
      <c r="C257" s="395"/>
      <c r="D257" s="601"/>
      <c r="E257" s="395"/>
      <c r="F257" s="602"/>
      <c r="G257" s="602"/>
      <c r="H257" s="602"/>
      <c r="I257" s="602"/>
      <c r="J257" s="602"/>
      <c r="K257" s="602"/>
      <c r="L257" s="395"/>
    </row>
    <row r="258" spans="1:15" ht="15">
      <c r="A258" s="395"/>
      <c r="B258" s="395"/>
      <c r="C258" s="395"/>
      <c r="D258" s="878"/>
      <c r="E258" s="603"/>
      <c r="F258" s="604"/>
      <c r="G258" s="604"/>
      <c r="H258" s="604"/>
      <c r="I258" s="604"/>
      <c r="J258" s="604"/>
      <c r="K258" s="395"/>
      <c r="L258" s="395"/>
      <c r="O258" s="261"/>
    </row>
    <row r="259" spans="1:15" ht="15">
      <c r="A259" s="395"/>
      <c r="B259" s="395"/>
      <c r="C259" s="395"/>
      <c r="D259" s="878"/>
      <c r="E259" s="396"/>
      <c r="F259" s="605"/>
      <c r="G259" s="604"/>
      <c r="H259" s="606"/>
      <c r="I259" s="606"/>
      <c r="J259" s="396"/>
      <c r="K259" s="395"/>
      <c r="L259" s="395"/>
      <c r="O259" s="261"/>
    </row>
    <row r="260" spans="1:15" ht="12.75">
      <c r="A260" s="395"/>
      <c r="B260" s="395"/>
      <c r="C260" s="395"/>
      <c r="D260" s="395"/>
      <c r="E260" s="396"/>
      <c r="F260" s="607"/>
      <c r="G260" s="607"/>
      <c r="H260" s="606"/>
      <c r="I260" s="606"/>
      <c r="J260" s="396"/>
      <c r="K260" s="395"/>
      <c r="L260" s="395"/>
      <c r="O260" s="261"/>
    </row>
    <row r="261" spans="1:12" ht="12.75">
      <c r="A261" s="395"/>
      <c r="B261" s="395"/>
      <c r="C261" s="396"/>
      <c r="D261" s="395"/>
      <c r="E261" s="395"/>
      <c r="F261" s="607"/>
      <c r="G261" s="607"/>
      <c r="H261" s="606"/>
      <c r="I261" s="606"/>
      <c r="J261" s="395"/>
      <c r="K261" s="395"/>
      <c r="L261" s="395"/>
    </row>
    <row r="262" spans="1:15" ht="12.75">
      <c r="A262" s="395"/>
      <c r="B262" s="395"/>
      <c r="C262" s="395"/>
      <c r="D262" s="395"/>
      <c r="E262" s="395"/>
      <c r="F262" s="395"/>
      <c r="G262" s="395"/>
      <c r="H262" s="396"/>
      <c r="I262" s="608"/>
      <c r="J262" s="608"/>
      <c r="K262" s="395"/>
      <c r="L262" s="395"/>
      <c r="O262" s="261"/>
    </row>
    <row r="263" spans="1:15" ht="12.75">
      <c r="A263" s="395"/>
      <c r="B263" s="395"/>
      <c r="C263" s="395"/>
      <c r="D263" s="395"/>
      <c r="E263" s="395"/>
      <c r="F263" s="395"/>
      <c r="G263" s="395"/>
      <c r="H263" s="396"/>
      <c r="I263" s="395"/>
      <c r="J263" s="395"/>
      <c r="K263" s="395"/>
      <c r="L263" s="395"/>
      <c r="O263" s="261"/>
    </row>
    <row r="264" spans="1:12" ht="12.75">
      <c r="A264" s="395"/>
      <c r="B264" s="395"/>
      <c r="C264" s="395"/>
      <c r="D264" s="395"/>
      <c r="E264" s="395"/>
      <c r="F264" s="395"/>
      <c r="G264" s="395"/>
      <c r="H264" s="395"/>
      <c r="I264" s="395"/>
      <c r="J264" s="395"/>
      <c r="K264" s="395"/>
      <c r="L264" s="395"/>
    </row>
    <row r="265" spans="1:12" ht="12.75">
      <c r="A265" s="395"/>
      <c r="B265" s="395"/>
      <c r="C265" s="395"/>
      <c r="D265" s="395"/>
      <c r="E265" s="395"/>
      <c r="F265" s="395"/>
      <c r="G265" s="395"/>
      <c r="H265" s="395"/>
      <c r="I265" s="395"/>
      <c r="J265" s="395"/>
      <c r="K265" s="395"/>
      <c r="L265" s="395"/>
    </row>
    <row r="266" spans="1:15" ht="12.75">
      <c r="A266" s="395"/>
      <c r="B266" s="395"/>
      <c r="C266" s="395"/>
      <c r="D266" s="395"/>
      <c r="E266" s="395"/>
      <c r="F266" s="395"/>
      <c r="G266" s="395"/>
      <c r="H266" s="395"/>
      <c r="I266" s="395"/>
      <c r="J266" s="395"/>
      <c r="K266" s="395"/>
      <c r="L266" s="395"/>
      <c r="O266" s="261"/>
    </row>
    <row r="267" spans="1:12" ht="12.75">
      <c r="A267" s="395"/>
      <c r="B267" s="395"/>
      <c r="C267" s="395"/>
      <c r="D267" s="395"/>
      <c r="E267" s="395"/>
      <c r="F267" s="395"/>
      <c r="G267" s="395"/>
      <c r="H267" s="395"/>
      <c r="I267" s="395"/>
      <c r="J267" s="395"/>
      <c r="K267" s="395"/>
      <c r="L267" s="396"/>
    </row>
    <row r="268" spans="1:12" ht="12.75">
      <c r="A268" s="395"/>
      <c r="B268" s="395"/>
      <c r="C268" s="395"/>
      <c r="D268" s="395"/>
      <c r="E268" s="395"/>
      <c r="F268" s="395"/>
      <c r="G268" s="395"/>
      <c r="H268" s="395"/>
      <c r="I268" s="395"/>
      <c r="J268" s="395"/>
      <c r="K268" s="395"/>
      <c r="L268" s="395"/>
    </row>
    <row r="269" spans="1:12" ht="12.75">
      <c r="A269" s="395"/>
      <c r="B269" s="395"/>
      <c r="C269" s="395"/>
      <c r="D269" s="395"/>
      <c r="E269" s="395"/>
      <c r="F269" s="395"/>
      <c r="G269" s="395"/>
      <c r="H269" s="395"/>
      <c r="I269" s="395"/>
      <c r="J269" s="395"/>
      <c r="K269" s="395"/>
      <c r="L269" s="395"/>
    </row>
    <row r="270" spans="1:12" ht="12.75">
      <c r="A270" s="395"/>
      <c r="B270" s="395"/>
      <c r="C270" s="395"/>
      <c r="D270" s="395"/>
      <c r="E270" s="395"/>
      <c r="F270" s="395"/>
      <c r="G270" s="395"/>
      <c r="H270" s="395"/>
      <c r="I270" s="395"/>
      <c r="J270" s="395"/>
      <c r="K270" s="395"/>
      <c r="L270" s="395"/>
    </row>
    <row r="271" spans="1:12" ht="12.75">
      <c r="A271" s="395"/>
      <c r="B271" s="395"/>
      <c r="C271" s="395"/>
      <c r="D271" s="395"/>
      <c r="E271" s="395"/>
      <c r="F271" s="395"/>
      <c r="G271" s="395"/>
      <c r="H271" s="395"/>
      <c r="I271" s="395"/>
      <c r="J271" s="395"/>
      <c r="K271" s="395"/>
      <c r="L271" s="395"/>
    </row>
    <row r="272" spans="1:12" ht="12.75">
      <c r="A272" s="395"/>
      <c r="B272" s="395"/>
      <c r="C272" s="395"/>
      <c r="D272" s="395"/>
      <c r="E272" s="395"/>
      <c r="F272" s="395"/>
      <c r="G272" s="395"/>
      <c r="H272" s="395"/>
      <c r="I272" s="395"/>
      <c r="J272" s="395"/>
      <c r="K272" s="395"/>
      <c r="L272" s="395"/>
    </row>
    <row r="273" spans="1:12" ht="12.75">
      <c r="A273" s="395"/>
      <c r="B273" s="395"/>
      <c r="C273" s="395"/>
      <c r="D273" s="395"/>
      <c r="E273" s="395"/>
      <c r="F273" s="395"/>
      <c r="G273" s="395"/>
      <c r="H273" s="395"/>
      <c r="I273" s="395"/>
      <c r="J273" s="395"/>
      <c r="K273" s="395"/>
      <c r="L273" s="395"/>
    </row>
    <row r="274" spans="1:12" ht="12.75">
      <c r="A274" s="395"/>
      <c r="B274" s="395"/>
      <c r="C274" s="395"/>
      <c r="D274" s="395"/>
      <c r="E274" s="395"/>
      <c r="F274" s="395"/>
      <c r="G274" s="395"/>
      <c r="H274" s="395"/>
      <c r="I274" s="395"/>
      <c r="J274" s="395"/>
      <c r="K274" s="395"/>
      <c r="L274" s="395"/>
    </row>
    <row r="275" spans="1:12" ht="12.75">
      <c r="A275" s="395"/>
      <c r="B275" s="395"/>
      <c r="C275" s="395"/>
      <c r="D275" s="395"/>
      <c r="E275" s="395"/>
      <c r="F275" s="395"/>
      <c r="G275" s="605"/>
      <c r="H275" s="605"/>
      <c r="I275" s="605"/>
      <c r="J275" s="605"/>
      <c r="K275" s="395"/>
      <c r="L275" s="395"/>
    </row>
    <row r="276" spans="1:12" ht="12.75">
      <c r="A276" s="395"/>
      <c r="B276" s="395"/>
      <c r="C276" s="395"/>
      <c r="D276" s="395"/>
      <c r="E276" s="395"/>
      <c r="F276" s="395"/>
      <c r="G276" s="605"/>
      <c r="H276" s="605"/>
      <c r="I276" s="605"/>
      <c r="J276" s="605"/>
      <c r="K276" s="395"/>
      <c r="L276" s="395"/>
    </row>
    <row r="277" spans="1:12" ht="12.75">
      <c r="A277" s="395"/>
      <c r="B277" s="395"/>
      <c r="C277" s="395"/>
      <c r="D277" s="395"/>
      <c r="E277" s="395"/>
      <c r="F277" s="395"/>
      <c r="G277" s="605"/>
      <c r="H277" s="605"/>
      <c r="I277" s="605"/>
      <c r="J277" s="605"/>
      <c r="K277" s="395"/>
      <c r="L277" s="395"/>
    </row>
    <row r="278" spans="1:12" ht="12.75">
      <c r="A278" s="395"/>
      <c r="B278" s="395"/>
      <c r="C278" s="395"/>
      <c r="D278" s="395"/>
      <c r="E278" s="395"/>
      <c r="F278" s="395"/>
      <c r="G278" s="605"/>
      <c r="H278" s="609"/>
      <c r="I278" s="607"/>
      <c r="J278" s="605"/>
      <c r="K278" s="395"/>
      <c r="L278" s="395"/>
    </row>
    <row r="279" spans="1:12" ht="12.75">
      <c r="A279" s="395"/>
      <c r="B279" s="395"/>
      <c r="C279" s="395"/>
      <c r="D279" s="395"/>
      <c r="E279" s="395"/>
      <c r="F279" s="395"/>
      <c r="G279" s="605"/>
      <c r="H279" s="605"/>
      <c r="I279" s="605"/>
      <c r="J279" s="605"/>
      <c r="K279" s="395"/>
      <c r="L279" s="395"/>
    </row>
    <row r="280" spans="1:12" ht="12.75">
      <c r="A280" s="395"/>
      <c r="B280" s="395"/>
      <c r="C280" s="395"/>
      <c r="D280" s="395"/>
      <c r="E280" s="395"/>
      <c r="F280" s="395"/>
      <c r="G280" s="605"/>
      <c r="H280" s="609"/>
      <c r="I280" s="607"/>
      <c r="J280" s="605"/>
      <c r="K280" s="395"/>
      <c r="L280" s="395"/>
    </row>
    <row r="281" spans="1:12" ht="12.75">
      <c r="A281" s="395"/>
      <c r="B281" s="395"/>
      <c r="C281" s="395"/>
      <c r="D281" s="395"/>
      <c r="E281" s="395"/>
      <c r="F281" s="395"/>
      <c r="G281" s="605"/>
      <c r="H281" s="605"/>
      <c r="I281" s="605"/>
      <c r="J281" s="605"/>
      <c r="K281" s="395"/>
      <c r="L281" s="395"/>
    </row>
    <row r="282" spans="1:12" ht="12.75">
      <c r="A282" s="395"/>
      <c r="B282" s="395"/>
      <c r="C282" s="395"/>
      <c r="D282" s="395"/>
      <c r="E282" s="395"/>
      <c r="F282" s="395"/>
      <c r="G282" s="605"/>
      <c r="H282" s="607"/>
      <c r="I282" s="605"/>
      <c r="J282" s="605"/>
      <c r="K282" s="395"/>
      <c r="L282" s="395"/>
    </row>
  </sheetData>
  <sheetProtection/>
  <mergeCells count="257">
    <mergeCell ref="A253:A255"/>
    <mergeCell ref="B253:B255"/>
    <mergeCell ref="D258:D259"/>
    <mergeCell ref="A247:A249"/>
    <mergeCell ref="B247:B249"/>
    <mergeCell ref="D247:D249"/>
    <mergeCell ref="A250:A252"/>
    <mergeCell ref="B250:B252"/>
    <mergeCell ref="D250:D252"/>
    <mergeCell ref="A241:A243"/>
    <mergeCell ref="B241:B243"/>
    <mergeCell ref="D241:D243"/>
    <mergeCell ref="A244:A246"/>
    <mergeCell ref="B244:B246"/>
    <mergeCell ref="D244:D246"/>
    <mergeCell ref="A235:A237"/>
    <mergeCell ref="B235:B237"/>
    <mergeCell ref="D235:D237"/>
    <mergeCell ref="A238:A240"/>
    <mergeCell ref="B238:B240"/>
    <mergeCell ref="D238:D240"/>
    <mergeCell ref="A229:A231"/>
    <mergeCell ref="B229:B231"/>
    <mergeCell ref="D229:D231"/>
    <mergeCell ref="A232:A234"/>
    <mergeCell ref="B232:B234"/>
    <mergeCell ref="D232:D234"/>
    <mergeCell ref="A223:A225"/>
    <mergeCell ref="B223:B225"/>
    <mergeCell ref="D223:D225"/>
    <mergeCell ref="A226:A228"/>
    <mergeCell ref="B226:B228"/>
    <mergeCell ref="D226:D228"/>
    <mergeCell ref="A217:A219"/>
    <mergeCell ref="B217:B219"/>
    <mergeCell ref="D217:D219"/>
    <mergeCell ref="A220:A222"/>
    <mergeCell ref="B220:B222"/>
    <mergeCell ref="D220:D222"/>
    <mergeCell ref="A211:A213"/>
    <mergeCell ref="B211:B213"/>
    <mergeCell ref="D211:D213"/>
    <mergeCell ref="A214:A216"/>
    <mergeCell ref="B214:B216"/>
    <mergeCell ref="D214:D216"/>
    <mergeCell ref="A205:A207"/>
    <mergeCell ref="B205:B207"/>
    <mergeCell ref="D205:D207"/>
    <mergeCell ref="A208:A210"/>
    <mergeCell ref="B208:B210"/>
    <mergeCell ref="D208:D210"/>
    <mergeCell ref="A199:A201"/>
    <mergeCell ref="B199:B201"/>
    <mergeCell ref="D199:D201"/>
    <mergeCell ref="A202:A204"/>
    <mergeCell ref="B202:B204"/>
    <mergeCell ref="D202:D204"/>
    <mergeCell ref="A193:A195"/>
    <mergeCell ref="B193:B195"/>
    <mergeCell ref="D193:D195"/>
    <mergeCell ref="A196:A198"/>
    <mergeCell ref="B196:B198"/>
    <mergeCell ref="D196:D198"/>
    <mergeCell ref="A187:A189"/>
    <mergeCell ref="B187:B189"/>
    <mergeCell ref="D187:D189"/>
    <mergeCell ref="A190:A192"/>
    <mergeCell ref="B190:B192"/>
    <mergeCell ref="D190:D192"/>
    <mergeCell ref="A181:A183"/>
    <mergeCell ref="B181:B183"/>
    <mergeCell ref="D181:D183"/>
    <mergeCell ref="A184:A186"/>
    <mergeCell ref="B184:B186"/>
    <mergeCell ref="D184:D186"/>
    <mergeCell ref="K169:K243"/>
    <mergeCell ref="A172:A174"/>
    <mergeCell ref="B172:B174"/>
    <mergeCell ref="D172:D174"/>
    <mergeCell ref="A175:A177"/>
    <mergeCell ref="B175:B177"/>
    <mergeCell ref="D175:D177"/>
    <mergeCell ref="A178:A180"/>
    <mergeCell ref="B178:B180"/>
    <mergeCell ref="D178:D180"/>
    <mergeCell ref="A164:A166"/>
    <mergeCell ref="B164:B166"/>
    <mergeCell ref="D164:D166"/>
    <mergeCell ref="A168:J168"/>
    <mergeCell ref="A169:A171"/>
    <mergeCell ref="B169:B171"/>
    <mergeCell ref="D169:D171"/>
    <mergeCell ref="A158:A160"/>
    <mergeCell ref="B158:B160"/>
    <mergeCell ref="D158:D160"/>
    <mergeCell ref="A161:A163"/>
    <mergeCell ref="B161:B163"/>
    <mergeCell ref="D161:D163"/>
    <mergeCell ref="A152:A154"/>
    <mergeCell ref="B152:B154"/>
    <mergeCell ref="D152:D154"/>
    <mergeCell ref="A155:A157"/>
    <mergeCell ref="B155:B157"/>
    <mergeCell ref="D155:D157"/>
    <mergeCell ref="A145:J145"/>
    <mergeCell ref="A146:A148"/>
    <mergeCell ref="B146:B148"/>
    <mergeCell ref="D146:D148"/>
    <mergeCell ref="A149:A151"/>
    <mergeCell ref="B149:B151"/>
    <mergeCell ref="D149:D151"/>
    <mergeCell ref="A138:A140"/>
    <mergeCell ref="B138:B140"/>
    <mergeCell ref="D138:D140"/>
    <mergeCell ref="A141:A143"/>
    <mergeCell ref="B141:B143"/>
    <mergeCell ref="D141:D143"/>
    <mergeCell ref="A132:A134"/>
    <mergeCell ref="B132:B134"/>
    <mergeCell ref="D132:D134"/>
    <mergeCell ref="A135:A137"/>
    <mergeCell ref="B135:B137"/>
    <mergeCell ref="D135:D137"/>
    <mergeCell ref="A126:A128"/>
    <mergeCell ref="B126:B128"/>
    <mergeCell ref="D126:D128"/>
    <mergeCell ref="A129:A131"/>
    <mergeCell ref="B129:B131"/>
    <mergeCell ref="D129:D131"/>
    <mergeCell ref="A120:A122"/>
    <mergeCell ref="B120:B122"/>
    <mergeCell ref="D120:D122"/>
    <mergeCell ref="A123:A125"/>
    <mergeCell ref="B123:B125"/>
    <mergeCell ref="D123:D125"/>
    <mergeCell ref="A114:A116"/>
    <mergeCell ref="B114:B116"/>
    <mergeCell ref="D114:D116"/>
    <mergeCell ref="A117:A119"/>
    <mergeCell ref="B117:B119"/>
    <mergeCell ref="D117:D119"/>
    <mergeCell ref="A108:A110"/>
    <mergeCell ref="B108:B110"/>
    <mergeCell ref="D108:D110"/>
    <mergeCell ref="A111:A113"/>
    <mergeCell ref="B111:B113"/>
    <mergeCell ref="D111:D113"/>
    <mergeCell ref="A102:A104"/>
    <mergeCell ref="B102:B104"/>
    <mergeCell ref="D102:D104"/>
    <mergeCell ref="K102:K104"/>
    <mergeCell ref="A105:A107"/>
    <mergeCell ref="B105:B107"/>
    <mergeCell ref="D105:D107"/>
    <mergeCell ref="A96:A98"/>
    <mergeCell ref="B96:B98"/>
    <mergeCell ref="D96:D98"/>
    <mergeCell ref="A99:A101"/>
    <mergeCell ref="B99:B101"/>
    <mergeCell ref="D99:D101"/>
    <mergeCell ref="A90:A92"/>
    <mergeCell ref="B90:B92"/>
    <mergeCell ref="D90:D92"/>
    <mergeCell ref="A93:A95"/>
    <mergeCell ref="B93:B95"/>
    <mergeCell ref="D93:D95"/>
    <mergeCell ref="A84:A86"/>
    <mergeCell ref="B84:B86"/>
    <mergeCell ref="D84:D86"/>
    <mergeCell ref="A87:A89"/>
    <mergeCell ref="B87:B89"/>
    <mergeCell ref="D87:D89"/>
    <mergeCell ref="K75:K77"/>
    <mergeCell ref="A78:A80"/>
    <mergeCell ref="B78:B80"/>
    <mergeCell ref="D78:D80"/>
    <mergeCell ref="A81:A83"/>
    <mergeCell ref="B81:B83"/>
    <mergeCell ref="D81:D83"/>
    <mergeCell ref="A72:A74"/>
    <mergeCell ref="B72:B74"/>
    <mergeCell ref="D72:D74"/>
    <mergeCell ref="A75:A77"/>
    <mergeCell ref="B75:B77"/>
    <mergeCell ref="D75:D77"/>
    <mergeCell ref="A66:A68"/>
    <mergeCell ref="B66:B68"/>
    <mergeCell ref="D66:D68"/>
    <mergeCell ref="A69:A71"/>
    <mergeCell ref="B69:B71"/>
    <mergeCell ref="D69:D71"/>
    <mergeCell ref="A60:A62"/>
    <mergeCell ref="B60:B62"/>
    <mergeCell ref="D60:D62"/>
    <mergeCell ref="A63:A65"/>
    <mergeCell ref="B63:B65"/>
    <mergeCell ref="D63:D65"/>
    <mergeCell ref="A51:A53"/>
    <mergeCell ref="B51:B53"/>
    <mergeCell ref="A54:A56"/>
    <mergeCell ref="B54:B56"/>
    <mergeCell ref="D54:D56"/>
    <mergeCell ref="A57:A59"/>
    <mergeCell ref="B57:B59"/>
    <mergeCell ref="D57:D59"/>
    <mergeCell ref="A45:A47"/>
    <mergeCell ref="B45:B47"/>
    <mergeCell ref="D45:D47"/>
    <mergeCell ref="A48:A50"/>
    <mergeCell ref="B48:B50"/>
    <mergeCell ref="D48:D50"/>
    <mergeCell ref="A39:A41"/>
    <mergeCell ref="B39:B41"/>
    <mergeCell ref="D39:D41"/>
    <mergeCell ref="K39:K41"/>
    <mergeCell ref="A42:A44"/>
    <mergeCell ref="B42:B44"/>
    <mergeCell ref="D42:D44"/>
    <mergeCell ref="A33:A35"/>
    <mergeCell ref="B33:B35"/>
    <mergeCell ref="D33:D35"/>
    <mergeCell ref="A36:A38"/>
    <mergeCell ref="B36:B38"/>
    <mergeCell ref="D36:D38"/>
    <mergeCell ref="A27:A29"/>
    <mergeCell ref="B27:B29"/>
    <mergeCell ref="D27:D29"/>
    <mergeCell ref="K27:K29"/>
    <mergeCell ref="A30:A32"/>
    <mergeCell ref="B30:B32"/>
    <mergeCell ref="D30:D32"/>
    <mergeCell ref="K18:K20"/>
    <mergeCell ref="A21:A23"/>
    <mergeCell ref="B21:B23"/>
    <mergeCell ref="D21:D23"/>
    <mergeCell ref="A24:A26"/>
    <mergeCell ref="B24:B26"/>
    <mergeCell ref="D24:D26"/>
    <mergeCell ref="L11:L254"/>
    <mergeCell ref="A12:A14"/>
    <mergeCell ref="B12:B14"/>
    <mergeCell ref="D12:D14"/>
    <mergeCell ref="A15:A17"/>
    <mergeCell ref="B15:B17"/>
    <mergeCell ref="D15:D17"/>
    <mergeCell ref="A18:A20"/>
    <mergeCell ref="B18:B20"/>
    <mergeCell ref="D18:D20"/>
    <mergeCell ref="K9:K10"/>
    <mergeCell ref="B5:I5"/>
    <mergeCell ref="B6:I6"/>
    <mergeCell ref="A9:A10"/>
    <mergeCell ref="B9:B10"/>
    <mergeCell ref="C9:C10"/>
    <mergeCell ref="D9:D10"/>
    <mergeCell ref="E9:E10"/>
    <mergeCell ref="F9:J9"/>
  </mergeCells>
  <printOptions/>
  <pageMargins left="1.3779527559055118" right="0.3937007874015748" top="0.7874015748031497" bottom="0.7874015748031497" header="0.31496062992125984" footer="0.31496062992125984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Цуглевич Ольга Сергеевна</dc:creator>
  <cp:keywords/>
  <dc:description/>
  <cp:lastModifiedBy>Цуглевич Ольга Сергеевна</cp:lastModifiedBy>
  <cp:lastPrinted>2013-11-26T11:09:09Z</cp:lastPrinted>
  <dcterms:created xsi:type="dcterms:W3CDTF">2012-10-22T07:31:42Z</dcterms:created>
  <dcterms:modified xsi:type="dcterms:W3CDTF">2013-11-27T03:02:16Z</dcterms:modified>
  <cp:category/>
  <cp:version/>
  <cp:contentType/>
  <cp:contentStatus/>
</cp:coreProperties>
</file>